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85" windowWidth="11115" windowHeight="8655" activeTab="4"/>
  </bookViews>
  <sheets>
    <sheet name="KQKD" sheetId="9" r:id="rId1"/>
    <sheet name="TMBC" sheetId="11" r:id="rId2"/>
    <sheet name="CDKT" sheetId="3" r:id="rId3"/>
    <sheet name="LCTT" sheetId="13" r:id="rId4"/>
    <sheet name="CBTT-Qui 2 13" sheetId="15" r:id="rId5"/>
  </sheets>
  <calcPr calcId="124519" iterateCount="1"/>
</workbook>
</file>

<file path=xl/calcChain.xml><?xml version="1.0" encoding="utf-8"?>
<calcChain xmlns="http://schemas.openxmlformats.org/spreadsheetml/2006/main">
  <c r="D63" i="15"/>
  <c r="C61"/>
  <c r="D59"/>
  <c r="D61"/>
  <c r="D57"/>
  <c r="D56"/>
  <c r="D55"/>
  <c r="D54"/>
  <c r="D52"/>
  <c r="C51"/>
  <c r="C53"/>
  <c r="C58"/>
  <c r="C62"/>
  <c r="C64"/>
  <c r="C65"/>
  <c r="D50"/>
  <c r="D49"/>
  <c r="D51"/>
  <c r="D53"/>
  <c r="D58"/>
  <c r="D62"/>
  <c r="D64"/>
  <c r="D65"/>
  <c r="D42"/>
  <c r="C42"/>
  <c r="D35"/>
  <c r="C35"/>
  <c r="C31"/>
  <c r="C30"/>
  <c r="C45"/>
  <c r="D31"/>
  <c r="D30"/>
  <c r="D27"/>
  <c r="C27"/>
  <c r="D18"/>
  <c r="D16"/>
  <c r="C18"/>
  <c r="C16"/>
  <c r="C26"/>
  <c r="D10"/>
  <c r="C10"/>
  <c r="D373" i="11"/>
  <c r="C373"/>
  <c r="F27" i="9"/>
  <c r="C271" i="11"/>
  <c r="J19" i="9"/>
  <c r="J18"/>
  <c r="C405" i="11"/>
  <c r="C397"/>
  <c r="C395"/>
  <c r="B220"/>
  <c r="F225"/>
  <c r="E225"/>
  <c r="D225"/>
  <c r="C225"/>
  <c r="B225"/>
  <c r="F217"/>
  <c r="E217"/>
  <c r="D217"/>
  <c r="C217"/>
  <c r="B217"/>
  <c r="M37" i="13"/>
  <c r="M38"/>
  <c r="M39"/>
  <c r="M42"/>
  <c r="M29"/>
  <c r="M20"/>
  <c r="H19"/>
  <c r="H40"/>
  <c r="L38"/>
  <c r="L20"/>
  <c r="L29"/>
  <c r="M35"/>
  <c r="L35"/>
  <c r="M34"/>
  <c r="L34"/>
  <c r="M28"/>
  <c r="L28"/>
  <c r="M25"/>
  <c r="L25"/>
  <c r="M24"/>
  <c r="L24"/>
  <c r="M22"/>
  <c r="L22"/>
  <c r="M19"/>
  <c r="L19"/>
  <c r="M18"/>
  <c r="L18"/>
  <c r="L15"/>
  <c r="M15"/>
  <c r="L16"/>
  <c r="M16"/>
  <c r="L17"/>
  <c r="M17"/>
  <c r="M14"/>
  <c r="L14"/>
  <c r="M13"/>
  <c r="L13"/>
  <c r="J38"/>
  <c r="J29"/>
  <c r="J16"/>
  <c r="J14"/>
  <c r="J20"/>
  <c r="H13"/>
  <c r="C409" i="11"/>
  <c r="K28" i="9"/>
  <c r="K14"/>
  <c r="J14"/>
  <c r="J11"/>
  <c r="K11"/>
  <c r="J12"/>
  <c r="K12"/>
  <c r="J13"/>
  <c r="K13"/>
  <c r="J15"/>
  <c r="K15"/>
  <c r="J16"/>
  <c r="K16"/>
  <c r="J17"/>
  <c r="K17"/>
  <c r="K18"/>
  <c r="K19"/>
  <c r="K20"/>
  <c r="J21"/>
  <c r="K21"/>
  <c r="J22"/>
  <c r="K22"/>
  <c r="J23"/>
  <c r="K23"/>
  <c r="K24"/>
  <c r="K25"/>
  <c r="J26"/>
  <c r="K26"/>
  <c r="K27"/>
  <c r="J29"/>
  <c r="K29"/>
  <c r="K10"/>
  <c r="J10"/>
  <c r="C368" i="11"/>
  <c r="D370"/>
  <c r="D368"/>
  <c r="D364"/>
  <c r="D369"/>
  <c r="D367"/>
  <c r="C364"/>
  <c r="C369"/>
  <c r="C164"/>
  <c r="D348"/>
  <c r="C387"/>
  <c r="J338"/>
  <c r="J337"/>
  <c r="D341"/>
  <c r="D342"/>
  <c r="D349"/>
  <c r="H23" i="9"/>
  <c r="H12"/>
  <c r="H14"/>
  <c r="I23"/>
  <c r="I12"/>
  <c r="I14"/>
  <c r="I20"/>
  <c r="I24"/>
  <c r="D322" i="11"/>
  <c r="D261"/>
  <c r="D260"/>
  <c r="D180"/>
  <c r="D164"/>
  <c r="D168"/>
  <c r="C380"/>
  <c r="C376"/>
  <c r="C360"/>
  <c r="E38" i="13"/>
  <c r="E29"/>
  <c r="E20"/>
  <c r="D38"/>
  <c r="D29"/>
  <c r="C280" i="11"/>
  <c r="D57" i="3"/>
  <c r="D56" s="1"/>
  <c r="D30" s="1"/>
  <c r="D60" s="1"/>
  <c r="E253" i="11"/>
  <c r="E251"/>
  <c r="E245"/>
  <c r="E227"/>
  <c r="F29" i="13"/>
  <c r="F38"/>
  <c r="D23" i="9"/>
  <c r="D12"/>
  <c r="D14"/>
  <c r="D20"/>
  <c r="E23"/>
  <c r="E12"/>
  <c r="E14"/>
  <c r="E20"/>
  <c r="D76" i="3"/>
  <c r="G220" i="11"/>
  <c r="G219"/>
  <c r="G211"/>
  <c r="C371"/>
  <c r="J346"/>
  <c r="I20" i="13"/>
  <c r="H29"/>
  <c r="I29"/>
  <c r="H38"/>
  <c r="B341" i="11"/>
  <c r="B342"/>
  <c r="B349"/>
  <c r="C341"/>
  <c r="C342"/>
  <c r="C349"/>
  <c r="F341"/>
  <c r="F342"/>
  <c r="F349"/>
  <c r="G341"/>
  <c r="G342"/>
  <c r="G349"/>
  <c r="H341"/>
  <c r="H342"/>
  <c r="H349"/>
  <c r="I341"/>
  <c r="I342"/>
  <c r="I349"/>
  <c r="F23" i="9"/>
  <c r="C190" i="11"/>
  <c r="D23" i="3"/>
  <c r="D22" s="1"/>
  <c r="D8" s="1"/>
  <c r="D10"/>
  <c r="D11"/>
  <c r="C173" i="11"/>
  <c r="D13" i="3"/>
  <c r="D12"/>
  <c r="C178" i="11"/>
  <c r="C181"/>
  <c r="D20" i="3"/>
  <c r="D15"/>
  <c r="C196" i="11"/>
  <c r="D28" i="3"/>
  <c r="C201" i="11"/>
  <c r="D29" i="3"/>
  <c r="G212" i="11"/>
  <c r="G213"/>
  <c r="G216"/>
  <c r="C228"/>
  <c r="B251"/>
  <c r="C251"/>
  <c r="D251"/>
  <c r="F251"/>
  <c r="D47" i="3"/>
  <c r="C289" i="11"/>
  <c r="D65" i="3"/>
  <c r="C297" i="11"/>
  <c r="D68" i="3"/>
  <c r="C307" i="11"/>
  <c r="D70" i="3"/>
  <c r="C318" i="11"/>
  <c r="D73" i="3"/>
  <c r="D380" i="11"/>
  <c r="D376"/>
  <c r="D408"/>
  <c r="J345"/>
  <c r="J334"/>
  <c r="J335"/>
  <c r="J336"/>
  <c r="J339"/>
  <c r="J340"/>
  <c r="D324"/>
  <c r="D326"/>
  <c r="D318"/>
  <c r="D280"/>
  <c r="D271"/>
  <c r="F228"/>
  <c r="E44" i="3"/>
  <c r="E38"/>
  <c r="D360" i="11"/>
  <c r="D178"/>
  <c r="D181"/>
  <c r="D96" i="3"/>
  <c r="D86"/>
  <c r="D85"/>
  <c r="C324" i="11"/>
  <c r="C322"/>
  <c r="D297"/>
  <c r="E15" i="3"/>
  <c r="E9"/>
  <c r="E12"/>
  <c r="E22"/>
  <c r="E25"/>
  <c r="E56"/>
  <c r="D291" i="11"/>
  <c r="D282"/>
  <c r="C291"/>
  <c r="C282"/>
  <c r="D41" i="3"/>
  <c r="D31"/>
  <c r="C370" i="11"/>
  <c r="C367"/>
  <c r="D405"/>
  <c r="C408"/>
  <c r="D395"/>
  <c r="D387"/>
  <c r="D354"/>
  <c r="C354"/>
  <c r="J348"/>
  <c r="J347"/>
  <c r="J344"/>
  <c r="J343"/>
  <c r="D307"/>
  <c r="D289"/>
  <c r="F290"/>
  <c r="B245"/>
  <c r="B254"/>
  <c r="C245"/>
  <c r="C254"/>
  <c r="D245"/>
  <c r="D254"/>
  <c r="F245"/>
  <c r="F254"/>
  <c r="B253"/>
  <c r="C253"/>
  <c r="D253"/>
  <c r="F253"/>
  <c r="G250"/>
  <c r="G249"/>
  <c r="G248"/>
  <c r="G247"/>
  <c r="G240"/>
  <c r="G241"/>
  <c r="G242"/>
  <c r="G243"/>
  <c r="G244"/>
  <c r="G229"/>
  <c r="F227"/>
  <c r="D227"/>
  <c r="C227"/>
  <c r="B227"/>
  <c r="G224"/>
  <c r="D201"/>
  <c r="D175"/>
  <c r="D183"/>
  <c r="D194"/>
  <c r="D198"/>
  <c r="C175"/>
  <c r="C183"/>
  <c r="C194"/>
  <c r="C198"/>
  <c r="D196"/>
  <c r="D190"/>
  <c r="D170"/>
  <c r="D173"/>
  <c r="C170"/>
  <c r="E64" i="3"/>
  <c r="D100"/>
  <c r="H86"/>
  <c r="H100"/>
  <c r="H85"/>
  <c r="H68"/>
  <c r="H73"/>
  <c r="H64"/>
  <c r="H63"/>
  <c r="H103"/>
  <c r="H76"/>
  <c r="G86"/>
  <c r="G100"/>
  <c r="G85"/>
  <c r="G68"/>
  <c r="G73"/>
  <c r="G64"/>
  <c r="G63"/>
  <c r="G103"/>
  <c r="G76"/>
  <c r="F86"/>
  <c r="F100"/>
  <c r="F85"/>
  <c r="F68"/>
  <c r="F73"/>
  <c r="F64"/>
  <c r="F63"/>
  <c r="F103"/>
  <c r="F76"/>
  <c r="E86"/>
  <c r="E85"/>
  <c r="E100"/>
  <c r="E76"/>
  <c r="H38"/>
  <c r="H37"/>
  <c r="H53"/>
  <c r="H51"/>
  <c r="H56"/>
  <c r="H11"/>
  <c r="H9"/>
  <c r="H12"/>
  <c r="H19"/>
  <c r="H20"/>
  <c r="H15"/>
  <c r="H22"/>
  <c r="H25"/>
  <c r="G38"/>
  <c r="G37"/>
  <c r="G53"/>
  <c r="G51"/>
  <c r="G11"/>
  <c r="G9"/>
  <c r="G12"/>
  <c r="G19"/>
  <c r="G20"/>
  <c r="G15"/>
  <c r="G22"/>
  <c r="G25"/>
  <c r="F38"/>
  <c r="F37"/>
  <c r="F53"/>
  <c r="F51"/>
  <c r="F11"/>
  <c r="F9"/>
  <c r="F12"/>
  <c r="F19"/>
  <c r="F20"/>
  <c r="F15"/>
  <c r="F22"/>
  <c r="F25"/>
  <c r="E41"/>
  <c r="E37"/>
  <c r="E30"/>
  <c r="E51"/>
  <c r="E31"/>
  <c r="E48"/>
  <c r="D48"/>
  <c r="G227" i="11"/>
  <c r="E254"/>
  <c r="D20" i="13"/>
  <c r="I42"/>
  <c r="H20"/>
  <c r="H39"/>
  <c r="H42"/>
  <c r="F20"/>
  <c r="F39"/>
  <c r="F42"/>
  <c r="F8" i="3"/>
  <c r="G8"/>
  <c r="D39" i="13"/>
  <c r="D42"/>
  <c r="G251" i="11"/>
  <c r="D44" i="3"/>
  <c r="F30"/>
  <c r="F60"/>
  <c r="G30"/>
  <c r="G60"/>
  <c r="H8"/>
  <c r="H30"/>
  <c r="H60"/>
  <c r="D371" i="11"/>
  <c r="E63" i="3"/>
  <c r="E103"/>
  <c r="E8"/>
  <c r="E60"/>
  <c r="D38"/>
  <c r="I25" i="9"/>
  <c r="I27"/>
  <c r="I28"/>
  <c r="D416" i="11"/>
  <c r="E39" i="13"/>
  <c r="E42"/>
  <c r="C168" i="11"/>
  <c r="D9" i="3"/>
  <c r="E24" i="9"/>
  <c r="D24"/>
  <c r="D27"/>
  <c r="D28"/>
  <c r="E27"/>
  <c r="H20"/>
  <c r="F12"/>
  <c r="F14"/>
  <c r="H24"/>
  <c r="F20"/>
  <c r="J20"/>
  <c r="H27"/>
  <c r="H28"/>
  <c r="L39" i="13"/>
  <c r="L42"/>
  <c r="J39"/>
  <c r="J42"/>
  <c r="E228" i="11"/>
  <c r="D228"/>
  <c r="B228"/>
  <c r="C326"/>
  <c r="G217"/>
  <c r="C416"/>
  <c r="J341"/>
  <c r="J342"/>
  <c r="F24" i="9"/>
  <c r="D64" i="3"/>
  <c r="D63" s="1"/>
  <c r="D103" s="1"/>
  <c r="G225" i="11"/>
  <c r="G245"/>
  <c r="D37" i="3"/>
  <c r="G228" i="11"/>
  <c r="J24" i="9"/>
  <c r="F25"/>
  <c r="J25"/>
  <c r="F28"/>
  <c r="J27"/>
  <c r="J28"/>
  <c r="G253" i="11"/>
  <c r="D25" i="3"/>
  <c r="G254" i="11"/>
  <c r="J349"/>
  <c r="C299"/>
  <c r="C309"/>
  <c r="C321"/>
  <c r="D299"/>
  <c r="D309"/>
  <c r="D321"/>
  <c r="D45" i="15"/>
  <c r="D26"/>
</calcChain>
</file>

<file path=xl/sharedStrings.xml><?xml version="1.0" encoding="utf-8"?>
<sst xmlns="http://schemas.openxmlformats.org/spreadsheetml/2006/main" count="825" uniqueCount="729">
  <si>
    <t>+ ThuÕ thu nhËp doanh nghiÖp</t>
  </si>
  <si>
    <t>+ ThuÕ thu nhËp c¸ nh©n</t>
  </si>
  <si>
    <t xml:space="preserve">bao gåm chi phÝ mua ®èi víi hµng mua ngoµi, chi phÝ s¶n xuÊt ®èi víi hµng tù chÕ vµ c¸c chi phÝ liªn  </t>
  </si>
  <si>
    <t>quan trùc tiÕp ph¸t sinh ®Ó cã ®­îc hµng tån kho ë ®Þa ®iÓm vµ tr¹ng th¸i hiÖn t¹i.</t>
  </si>
  <si>
    <t xml:space="preserve">* Cã thêi h¹n thu håi hoÆc thanh to¸n trªn 01 n¨m (hoÆc h¬n 01 chu kú s¶n xuÊt kinh doanh) </t>
  </si>
  <si>
    <t>®­îc ph©n lo¹i lµ tµi s¶n dµi h¹n.</t>
  </si>
  <si>
    <t xml:space="preserve">Dù phßng ph¶i thu khã ®ßi thÓ hiÖn phÇn gi¸ trÞ dù kiÕn bÞ tæn thÊt cña c¸c kho¶n nî ph¶i thu </t>
  </si>
  <si>
    <t>cã kh¶ n¨ng kh«ng thu håi ®­îc t¹i c¸c thêi ®iÓm lËp B¸o c¸o tµi chÝnh.</t>
  </si>
  <si>
    <t xml:space="preserve">c¸o kÕt qu¶ ho¹t ®éng s¶n xuÊt kinh doanh. C¸c kho¶n thu kh¸c (ngoµi lîi nhuËn thuÇn) ®­îc  </t>
  </si>
  <si>
    <t>coi lµ phÇn thu håi c¸c kho¶n ®Çu t­ vµ ®­îc ghi nhËn lµ kho¶n gi¶m trõ gi¸ gèc ®Çu t­.</t>
  </si>
  <si>
    <t xml:space="preserve">+ Cã thêi h¹n thu håi hoÆc ®¸o h¹n kh«ng qu¸ 3 th¸ng kÓ tõ ngµy mua kho¶n ®Çu t­ ®ã ®­îc coi  </t>
  </si>
  <si>
    <t>lµ "t­¬ng ®­¬ng tiÒn"</t>
  </si>
  <si>
    <t xml:space="preserve">+ Cã thêi gian thu håi vèn d­íi 01 n¨m hoÆc trong 1 chu kú s¶n xuÊt kinh doanh ®­îc ph©n lo¹i  </t>
  </si>
  <si>
    <t>lµ tµi s¶n ng¾n h¹n.</t>
  </si>
  <si>
    <t xml:space="preserve">+ Cã thêi gian thu håi vèn trªn 01 n¨m hoÆc h¬n 1 chu kú s¶n xuÊt ®­îc ph©n lo¹i lµ tµi s¶n </t>
  </si>
  <si>
    <t>dµi h¹n.</t>
  </si>
  <si>
    <t xml:space="preserve">+ Cã thêi h¹n thu håi hoÆc ®¸o h¹n kh«ng qu¸ 3 th¸ng kÓ tõ ngµy mua kho¶n ®Çu t­ ®ã ®­îc coi </t>
  </si>
  <si>
    <t xml:space="preserve"> lµ "t­¬ng ®­¬ng tiÒn"</t>
  </si>
  <si>
    <t>+ Cã thêi gian thu håi vèn trªn 01 n¨m hoÆc h¬n 1 chu kú s¶n xuÊt ®­îc ph©n lo¹i lµ tµi s¶n</t>
  </si>
  <si>
    <t xml:space="preserve"> dµi h¹n.</t>
  </si>
  <si>
    <t xml:space="preserve">Dù phßng gi¶m gi¸ ®Çu t­ ®­îc lËp vµo thêi ®iÓm cuèi n¨m, lµ sè chªnh lÖch gi÷a gi¸ gèc cña c¸c </t>
  </si>
  <si>
    <t xml:space="preserve">kho¶n  ®Çu t­ ®­îc h¹ch to¸n trªn trªn sæ s¸ch lín h¬n gi¸ trÞ thÞ tr­êng cña chóng t¹i thêi ®iÓm </t>
  </si>
  <si>
    <t>lËp dù phßng.</t>
  </si>
  <si>
    <t xml:space="preserve">Dù phßng b¶o hµnh s¶n phÈm ®­îc lËp trªn c¬ së c¸c Hîp ®ång ®ang thùc thi, trong thêi gian </t>
  </si>
  <si>
    <t>b¶o hµnh s¶n phÈm, gi¸ trÞ lËp dù phßng b¶o hµnh kh«ng qu¸ 5% gi¸ trÞ Hîp ®ång.</t>
  </si>
  <si>
    <t xml:space="preserve">Trong kú, chi phÝ ®i vay ®Ó phôc vô s¶n xuÊt kinh doanh ®­îc h¹ch to¸n vµo kÕt qu¶n s¶n xuÊt  </t>
  </si>
  <si>
    <t>kinh doanh cña kú s¶n xuÊt Êy.</t>
  </si>
  <si>
    <t xml:space="preserve">C¸c lo¹i chi phÝ tr¶ tr­íc nÕu chØ liªn quan ®Õn n¨m tµi chÝnh hiÖn t¹i ®­îc ghi nhËn vµo chi phÝ  </t>
  </si>
  <si>
    <t>s¶n xuÊt kinh doanh trong n¨m tµi chÝnh.</t>
  </si>
  <si>
    <t xml:space="preserve">C¸c kho¶n dù phßng ph¶i tr¶ ®­îc ghi nhËn theo nguyªn t¾c: Doanh nghiÖp cã nghÜa vô nî hiÖn </t>
  </si>
  <si>
    <t xml:space="preserve">t¹i trªn c¬ së Hîp ®ång, c¸c cam kÕt rµng buéc. </t>
  </si>
  <si>
    <t xml:space="preserve">Sù gi¶m sót vÒ lîi Ých kinh tÕ cã thÓ x¶y ra dÉn ®Õn viÖc yªu cÇu ph¶i thanh to¸n nghÜa vô nî, tõ  </t>
  </si>
  <si>
    <t>®ã mét ­íc tÝnh ®¸ng tin cËy cho c¸c nghÜa vô nî ®­îc ®­a ra ®¶m b¶o.</t>
  </si>
  <si>
    <t xml:space="preserve">Gi¸ trÞ ®­îc ghi nhËn cña mét kho¶n dù phßng ph¶i tr¶ lµ gi¸ trÞ ­íc tÝnh hîp lý nhÊt vÒ kho¶n </t>
  </si>
  <si>
    <t>tiÒn sÏ ph¶i chi tr¶ ®Ó thanh to¸n nghÜa vô nî hiÖn t¹i t¹i ngµy kÕt thóc kú kÕ to¸n.</t>
  </si>
  <si>
    <t xml:space="preserve">+ PhÇn lín rñi ro vµ lîi Ých g¾n liÒn víi quyÒn së h÷u s¶n phÈm hoÆc hµng ho¸ vµ c¸c dÞch vô  </t>
  </si>
  <si>
    <t>cung cÊp ®· ®­îc chuyÓn giao cho ng­êi mua.</t>
  </si>
  <si>
    <t xml:space="preserve">+ C«ng ty kh«ng cßn n¾m gi÷ quyÒn qu¶n lý hµng ho¸ nh­ ng­êi së h÷u hµng ho¸ hoÆc quyÒn </t>
  </si>
  <si>
    <t>kiÓm so¸t, còng nh­ viÖc hoµn tÊt bµn giao c¸c dÞch vô cung cÊp.</t>
  </si>
  <si>
    <t xml:space="preserve">Doanh thu ph¸t sinh tõ tiÒn l·i, tiÒn b¶n quyÒn, cæ tøc, lîi nhuËn ®­îc chia vµ c¸c kho¶n doanh </t>
  </si>
  <si>
    <t>thu ho¹t ®éng tµi chÝnh kh¸c ®­îc ghi nhËn ®ång thêi tho¶ m·n 2 ®iÒu kiÖn sau:</t>
  </si>
  <si>
    <t xml:space="preserve">      TiÒn ký quü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</si>
  <si>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</si>
  <si>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</si>
  <si>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</si>
  <si>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</si>
  <si>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</si>
  <si>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+ B¶o hiÓm x· héi</t>
  </si>
  <si>
    <t>Sè d­ ®Çu n¨m tr­íc</t>
  </si>
  <si>
    <t>Sè d­ cuèi n¨m tr­íc</t>
  </si>
  <si>
    <t>Sè d­ ®Çu n¨m nay</t>
  </si>
  <si>
    <t>Sè d­ cuèi kú nµy</t>
  </si>
  <si>
    <t>Kú nµy</t>
  </si>
  <si>
    <t>+ Chi phÝ H§QT, BKS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</si>
  <si>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</si>
  <si>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</si>
  <si>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</si>
  <si>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</si>
  <si>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</si>
  <si>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</si>
  <si>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</si>
  <si>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</si>
  <si>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</si>
  <si>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</si>
  <si>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</si>
  <si>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</si>
  <si>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</si>
  <si>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</si>
  <si>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</si>
  <si>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</si>
  <si>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</si>
  <si>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</si>
  <si>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</si>
  <si>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</si>
  <si>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</si>
  <si>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8. Chi phÝ b¸n hµng</t>
  </si>
  <si>
    <t>VI.31</t>
  </si>
  <si>
    <t>9. Chi phÝ qu¶n lý doanh nghiÖp</t>
  </si>
  <si>
    <t>VI.32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</si>
  <si>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</si>
  <si>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</si>
  <si>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</si>
  <si>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</si>
  <si>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</si>
  <si>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</si>
  <si>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</si>
  <si>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</si>
  <si>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</si>
  <si>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</si>
  <si>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</si>
  <si>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</si>
  <si>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</si>
  <si>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</si>
  <si>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</si>
  <si>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</si>
  <si>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</si>
  <si>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</si>
  <si>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</si>
  <si>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</si>
  <si>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</si>
  <si>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</si>
  <si>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</si>
  <si>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</si>
  <si>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</si>
  <si>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</si>
  <si>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</si>
  <si>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</si>
  <si>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</si>
  <si>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</si>
  <si>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</si>
  <si>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</si>
  <si>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</si>
  <si>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</si>
  <si>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</si>
  <si>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</si>
  <si>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</si>
  <si>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</si>
  <si>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</si>
  <si>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</si>
  <si>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</si>
  <si>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</si>
  <si>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</si>
  <si>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</si>
  <si>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</si>
  <si>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</si>
  <si>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</si>
  <si>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</si>
  <si>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</si>
  <si>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</si>
  <si>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</si>
  <si>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</si>
  <si>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</si>
  <si>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</si>
  <si>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</si>
  <si>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</si>
  <si>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</si>
  <si>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</si>
  <si>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</si>
  <si>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</si>
  <si>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</si>
  <si>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</si>
  <si>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</si>
  <si>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</si>
  <si>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</si>
  <si>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</si>
  <si>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</si>
  <si>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</si>
  <si>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</si>
  <si>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</si>
  <si>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</si>
  <si>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</si>
  <si>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</si>
  <si>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</si>
  <si>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</si>
  <si>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</si>
  <si>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</si>
  <si>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</si>
  <si>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</si>
  <si>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</si>
  <si>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</si>
  <si>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</si>
  <si>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</si>
  <si>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</si>
  <si>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</si>
  <si>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</si>
  <si>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</si>
  <si>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</si>
  <si>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</si>
  <si>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</si>
  <si>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</si>
  <si>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</si>
  <si>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</si>
  <si>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</si>
  <si>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</si>
  <si>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</si>
  <si>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</si>
  <si>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</si>
  <si>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</si>
  <si>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</si>
  <si>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</si>
  <si>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</si>
  <si>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</si>
  <si>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</si>
  <si>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</si>
  <si>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</si>
  <si>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</si>
  <si>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</si>
  <si>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</si>
  <si>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</si>
  <si>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</si>
  <si>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</si>
  <si>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</si>
  <si>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</si>
  <si>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</si>
  <si>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</si>
  <si>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</si>
  <si>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</si>
  <si>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</si>
  <si>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</si>
  <si>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</si>
  <si>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</si>
  <si>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</si>
  <si>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</si>
  <si>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</si>
  <si>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</si>
  <si>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Luü kÕ n¨m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</si>
  <si>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</si>
  <si>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</si>
  <si>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</si>
  <si>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</si>
  <si>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</si>
  <si>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</si>
  <si>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</si>
  <si>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</si>
  <si>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</si>
  <si>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</si>
  <si>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</si>
  <si>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</si>
  <si>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</si>
  <si>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</si>
  <si>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</si>
  <si>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</si>
  <si>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</si>
  <si>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</si>
  <si>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</si>
  <si>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</si>
  <si>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</si>
  <si>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trong kú h¹ch to¸n</t>
    </r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</si>
  <si>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</si>
  <si>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</si>
  <si>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</si>
  <si>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</si>
  <si>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</si>
  <si>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</si>
  <si>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</si>
  <si>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</si>
  <si>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</si>
  <si>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</si>
  <si>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</si>
  <si>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</si>
  <si>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</si>
  <si>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</si>
  <si>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</si>
  <si>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</si>
  <si>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</si>
  <si>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</si>
  <si>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C¸c kho¶n ®Çu t­ chøng kho¸n t¹i thêi ®iÓm b¸o c¸o.</t>
  </si>
  <si>
    <t>C¸c kho¶n ®Çu t­ kh¸c t¹i thêi ®iÓm b¸o c¸o.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</si>
  <si>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</si>
  <si>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</si>
  <si>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</si>
  <si>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</si>
  <si>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</si>
  <si>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 xml:space="preserve">ViÖc tÝnh vµ ph©n bæ chi phÝ tr¶ tr­íc dµi h¹n vµo chi phÝ s¶n xuÊt kinh doanh tõng kú h¹ch to¸n </t>
  </si>
  <si>
    <t xml:space="preserve">          C«ng cô dông cô xuÊt dïng cã gi¸ trÞ lín.</t>
  </si>
  <si>
    <t xml:space="preserve">         Chi phÝ söa ch÷a lín tµi s¶n cè ®Þnh ph¸t sinh 1 lÇn qu¸ lín.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</si>
  <si>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</si>
  <si>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</si>
  <si>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</si>
  <si>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+ Cã kh¶ n¨ng thu ®­îc lîi Ých tõ giao dÞch ®ã.</t>
  </si>
  <si>
    <t>thuÕ thu nhËp ho·n l¹i.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</si>
  <si>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</si>
  <si>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</si>
  <si>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</si>
  <si>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</si>
  <si>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</si>
  <si>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</si>
  <si>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3- C¸c kho¶n ph¶i thu ng¾n h¹n kh¸c</t>
  </si>
  <si>
    <t>+ Ph¶i thu vÒ cæ phÇn ho¸</t>
  </si>
  <si>
    <t>+ Ph¶i thu kh¸c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</si>
  <si>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</si>
  <si>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</si>
  <si>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</si>
  <si>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</si>
  <si>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</si>
  <si>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</si>
  <si>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</si>
  <si>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5- ThuÕ vµ c¸c kho¶n ph¶i thu cña Nhµ n­íc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</si>
  <si>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</si>
  <si>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</si>
  <si>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</si>
  <si>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</si>
  <si>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</si>
  <si>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</si>
  <si>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</si>
  <si>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</si>
  <si>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kh¸c</t>
  </si>
  <si>
    <t>céng</t>
  </si>
  <si>
    <t>truyÒn dÉn</t>
  </si>
  <si>
    <t>Nguyªn gi¸ TSC§ h÷u h×nh</t>
  </si>
  <si>
    <t>Sè d­ ®Çu kú</t>
  </si>
  <si>
    <t>+ Mua trong kú</t>
  </si>
  <si>
    <t>+ §Çu t­ XDCB hoµn thµnh</t>
  </si>
  <si>
    <t>+ T¨ng kh¸c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</si>
  <si>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</si>
  <si>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</si>
  <si>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</si>
  <si>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</si>
  <si>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</si>
  <si>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</si>
  <si>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</si>
  <si>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</si>
  <si>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</si>
  <si>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</si>
  <si>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</si>
  <si>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</si>
  <si>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</si>
  <si>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</si>
  <si>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>Kho¶n môc</t>
  </si>
  <si>
    <t>sö dông</t>
  </si>
  <si>
    <t>b»ng</t>
  </si>
  <si>
    <t>hiÖu</t>
  </si>
  <si>
    <t>v« h×nh</t>
  </si>
  <si>
    <t>Tæng céng</t>
  </si>
  <si>
    <t>®Êt</t>
  </si>
  <si>
    <t>s¸ng chÕ</t>
  </si>
  <si>
    <t>hµng ho¸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</si>
  <si>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</si>
  <si>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</si>
  <si>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</si>
  <si>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</si>
  <si>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</si>
  <si>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</si>
  <si>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</si>
  <si>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</si>
  <si>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+ TiÒn c­îc thuª gian hµng</t>
  </si>
  <si>
    <t>+ Kinh phÝ C«ng ®oµn</t>
  </si>
  <si>
    <t>+ Ph¶i tr¶ kh¸c -  TK 1388</t>
  </si>
  <si>
    <t>a- Vay dµi h¹n</t>
  </si>
  <si>
    <t>+ Vay Ng©n hµng</t>
  </si>
  <si>
    <t>b- Nî dµi h¹n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</si>
  <si>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</si>
  <si>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</si>
  <si>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</si>
  <si>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</si>
  <si>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</si>
  <si>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</si>
  <si>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</si>
  <si>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</si>
  <si>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</si>
  <si>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</si>
  <si>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</si>
  <si>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</si>
  <si>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</si>
  <si>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</si>
  <si>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</si>
  <si>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</si>
  <si>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</si>
  <si>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</si>
  <si>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</si>
  <si>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</si>
  <si>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</si>
  <si>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</si>
  <si>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</si>
  <si>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</si>
  <si>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</si>
  <si>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+ Lç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</si>
  <si>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</si>
  <si>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</si>
  <si>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</si>
  <si>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</si>
  <si>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</si>
  <si>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</si>
  <si>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</si>
  <si>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</si>
  <si>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Trong ®ã: - Doanh thu thuÇn trao ®æi hµng ho¸</t>
  </si>
  <si>
    <t>- Doanh thu thuÇn b¸n thµnh phÈm s¶n xuÊt</t>
  </si>
  <si>
    <t>- Doanh thu thuÇn trao ®æi dÞch vô</t>
  </si>
  <si>
    <t>+ Gi¸ vèn cña hµng ho¸ ®· b¸n</t>
  </si>
  <si>
    <t>+ Gi¸ vèn cña thµnh phÈm ®· b¸n</t>
  </si>
  <si>
    <t>+ L·i tiÒn göi, tiÒn cho vay</t>
  </si>
  <si>
    <t>+ L·i tiÒn vay</t>
  </si>
  <si>
    <t>+ TiÒn l­¬ng nh©n viªn b¸n hµng</t>
  </si>
  <si>
    <t>+ Chi khÊu hao TSC§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</si>
  <si>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</si>
  <si>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</si>
  <si>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</si>
  <si>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</si>
  <si>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</si>
  <si>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</si>
  <si>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</si>
  <si>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</si>
  <si>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</si>
  <si>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</si>
  <si>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</si>
  <si>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</si>
  <si>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</si>
  <si>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</si>
  <si>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33.3- Chi phÝ khÊu hao tµi s¶n cè ®Þnh</t>
  </si>
  <si>
    <t>33.4- ThuÕ phÝ vµ lÖ phÝ</t>
  </si>
  <si>
    <t>33.5- Chi phÝ dÞch vô mua ngoµi</t>
  </si>
  <si>
    <t>33.6- Chi phÝ kh¸c</t>
  </si>
  <si>
    <r>
      <t>VIII- Nh÷ng th«ng tin kh¸c</t>
    </r>
    <r>
      <rPr>
        <sz val="12"/>
        <color indexed="12"/>
        <rFont val=".vntime"/>
        <family val="2"/>
      </rPr>
      <t>:</t>
    </r>
  </si>
  <si>
    <t>6- Tµi s¶n ng¾n h¹n kh¸c</t>
  </si>
  <si>
    <t>8 - C¸c kho¶n ph¶i thu dµi h¹n kh¸c</t>
  </si>
  <si>
    <t>7 - Ph¶i thu dµi h¹n néi bé</t>
  </si>
  <si>
    <t>9 - T¨ng, gi¶m tµi s¶n cè ®Þnh h÷u h×nh</t>
  </si>
  <si>
    <t>10 - T¨ng, gi¶m TSC§ thuª tµi chÝnh:</t>
  </si>
  <si>
    <t>11 - T¨ng, gi¶m tµi s¶n cè ®Þnh v« h×nh:</t>
  </si>
  <si>
    <t>l¾p ®Æt c¸c c«ng tr×nh ®iÖn h¹ thÕ.</t>
  </si>
  <si>
    <t>+ C¸c kho¶n t­¬ng ®­¬ng tiÒn</t>
  </si>
  <si>
    <t>+ Gi¸ vèn cña dÞch vô cung cÊp</t>
  </si>
  <si>
    <t xml:space="preserve">               C«ng ty CP ChÕ T¹o B¬m h¶I D­¬ng</t>
  </si>
  <si>
    <t xml:space="preserve">                     Tel: 0320 3844876, Fax: 03203858606, Email: hpmchd@vnn.vn, Website: www.hpmc.com.vn</t>
  </si>
  <si>
    <t xml:space="preserve">                Sè 37 §¹i lé Hå ChÝ Minh - TP H¶i D­¬ng</t>
  </si>
  <si>
    <t>MÉu sè B01a-DN</t>
  </si>
  <si>
    <t xml:space="preserve">Sè cuèi kú </t>
  </si>
  <si>
    <t>bÞ, phô tïng phôc vô s¶n xu¸t kinh doanh cña c«ng ty; x©y l¾p, söa ch÷a c¸c c«ng tr×nh cÊp tho¸t n­íc</t>
  </si>
  <si>
    <t>c¸c hÖ thèng m¸y b¬m, van vµ c¸c s¶n phÈm kh¸c cña c«ng ty; chÕ t¹o, cung øng vËt t­, thiÕt bÞ vµ</t>
  </si>
  <si>
    <t>C«ng ty sö dông tÝnh khÊu hao theo ®­êng th¼ng víi thêi gian sö dông ­íc tÝnh nh­ sau:</t>
  </si>
  <si>
    <t xml:space="preserve">        Ph¶i thu kh¸c - TK 1388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</si>
  <si>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</si>
  <si>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</si>
  <si>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</si>
  <si>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</si>
  <si>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</si>
  <si>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</si>
  <si>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</si>
  <si>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r>
      <t xml:space="preserve">1. H×nh thøc së h÷u vèn: </t>
    </r>
    <r>
      <rPr>
        <i/>
        <sz val="12"/>
        <color indexed="12"/>
        <rFont val=".VnTime"/>
        <family val="2"/>
      </rPr>
      <t>Vèn cæ phÇn</t>
    </r>
  </si>
  <si>
    <t>* C¸c cam kÕt vÒ viÖc mua b¸n TSC§……</t>
  </si>
  <si>
    <t>+ Chi phÝ b¶o hµnh s¶n phÈm</t>
  </si>
  <si>
    <t>+ Chi phÝ dù phßng ph¶i thu khã ®ßi</t>
  </si>
  <si>
    <t>* Nguyªn gi¸ TSC§ cuèi kú ®·  
KH hÕt nh­ng vÉn cßn sö dông:</t>
  </si>
  <si>
    <t>+ Chi phÝ qu¶ng c¸o</t>
  </si>
  <si>
    <t xml:space="preserve">C¸c chi phÝ kh¸c phôc vô cho ho¹t ®éng ®Çu t­ x©y dùng c¬ b¶n, c¶i t¹o n©ng cÊp TSC§ trong  </t>
  </si>
  <si>
    <t>kú ®­îc vèn ho¸ vµo tµi s¶n cè ®Þnh ®ang ®­îc ®Çu t­, n©ng cÊp, c¶i t¹o ®ã.</t>
  </si>
  <si>
    <t xml:space="preserve">Chi phÝ tr¶ tr­íc ph©n bæ cho ho¹t ®éng ®Çu t­ x©y dùng c¬ b¶n, c¶i t¹o n©ng cÊp TSC§ trong  </t>
  </si>
  <si>
    <r>
      <t xml:space="preserve">B. Tµi s¶n  dµi h¹n </t>
    </r>
    <r>
      <rPr>
        <b/>
        <u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</si>
  <si>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/>
        <sz val="11"/>
        <color indexed="12"/>
        <rFont val=".VnTimeH"/>
        <family val="2"/>
      </rPr>
      <t xml:space="preserve"> </t>
    </r>
    <r>
      <rPr>
        <b/>
        <u/>
        <sz val="10"/>
        <color indexed="12"/>
        <rFont val=".VnTimeH"/>
        <family val="2"/>
      </rPr>
      <t>(100 = 110+120+130+140+150)</t>
    </r>
  </si>
  <si>
    <t xml:space="preserve">                C«ng ty CP ChÕ T¹o B¬m h¶I D­¬ng</t>
  </si>
  <si>
    <t>Cho kú ho¹t ®éng tõ 01/10 ®Õn 31/12</t>
  </si>
  <si>
    <t>+ C¸c kho¶n cÇm cè, ký c­îc, ký quü ng¾n h¹n</t>
  </si>
  <si>
    <t>+ C¸c kho¶n t¹m øng cña ng­êi lao ®éng</t>
  </si>
  <si>
    <t>+ Chi phÝ tr¶ tr­íc dµi h¹n kh¸c</t>
  </si>
  <si>
    <t>+ Vay ng¾n h¹n NH c«ng th­¬ng H¶i D­¬ng</t>
  </si>
  <si>
    <t xml:space="preserve">Kho¶n ®Çu t­ vµo C«ng ty con, C«ng ty liªn kÕt ®­îc kÕ to¸n theo Ph­¬ng ph¸p gi¸ gèc. Lîi nhuËn </t>
  </si>
  <si>
    <t xml:space="preserve">thuÇn ®­îc chia tõ C«ng ty con, C«ng ty liªn kÕt ph¸t sinh sau ngµy ®Çu t­ ®­îc ghi nhËn vµo B¸o </t>
  </si>
  <si>
    <t>Chi phÝ ®i vay liªn quan trùc tiÕp ®Õn viÖc ®Çu t­ x©y dùng hoÆc ®Çu t­ TSC§ ®­îc tÝnh th¼ng</t>
  </si>
  <si>
    <t>Cæ tøc, lîi nhuËn ®­îc ghi nhËn khi C«ng ty ®­îc quyÒn nhËn cæ tøc hoÆc lîi nhuËn tõ viÖc gãp vèn.</t>
  </si>
  <si>
    <t xml:space="preserve">+ TiÒn ký quü cña H§ ®¹i lý </t>
  </si>
  <si>
    <t xml:space="preserve">           KÕ to¸n tæng hîp           gi¸m ®èc tµi chÝnh        tæng gi¸m ®èc c«ng ty</t>
  </si>
  <si>
    <t xml:space="preserve">+ Cã thêi gian thu håi vèn d­íi 01 n¨m hoÆc trong 1 chu kú s¶n xuÊt kinh doanh ®­îc ph©n lo¹i </t>
  </si>
  <si>
    <t>+ Cho kh¸ch hµng vay ng¾n h¹n</t>
  </si>
  <si>
    <t>+ Ph¶i thu néi bé kh¸c (l­¬ng BH)</t>
  </si>
  <si>
    <t>(Theo ph­¬ng ph¸p trùc tiÕp)</t>
  </si>
  <si>
    <t xml:space="preserve">                      §¬n vÞ tÝnh: ®ång VN</t>
  </si>
  <si>
    <t>ThuyÕt
minh</t>
  </si>
  <si>
    <t>ChØ tiªu</t>
  </si>
  <si>
    <t>I- L­u chuyÓn tiÒn tõ ho¹t ®éng kinh doanh</t>
  </si>
  <si>
    <t>1.TiÒn thu tõ b¸n hµng, CCDV vµ doanh thu kh¸c</t>
  </si>
  <si>
    <t xml:space="preserve">2.TiÒn chi tr¶ cho ng­êi CC hµng ho¸ &amp; dÞch vô </t>
  </si>
  <si>
    <t>3.TiÒn chi tr¶ cho ng­êi lao ®éng</t>
  </si>
  <si>
    <t>03</t>
  </si>
  <si>
    <t>4.TiÒn chi tr¶ l·i vay</t>
  </si>
  <si>
    <t>04</t>
  </si>
  <si>
    <t>5.TiÒn chi nép thuÕ thu nhËp doanh nghiÖp</t>
  </si>
  <si>
    <t>05</t>
  </si>
  <si>
    <t>6.TiÒn thu kh¸c tõ ho¹t ®éng kinh doanh</t>
  </si>
  <si>
    <t>06</t>
  </si>
  <si>
    <t>7.TiÒn chi kh¸c cho ho¹t ®éng kinh doanh</t>
  </si>
  <si>
    <t>07</t>
  </si>
  <si>
    <t>L­u chuyÓn thuÇn tõ ho¹t ®éng SXKD</t>
  </si>
  <si>
    <t>II - L­u chuyÓn tõ ho¹t ®éng ®Çu t­</t>
  </si>
  <si>
    <t>2. TiÒn thu tõ TL, nh­îng b¸n TSC§ &amp; c¸c TSDH #</t>
  </si>
  <si>
    <t>3. TiÒn chi cho vay, mua s¾m c¸c CC nî cña §V #</t>
  </si>
  <si>
    <t>4. TiÒn thu håi cho vay, b¸n l¹i c¸c CC nî cña §V #</t>
  </si>
  <si>
    <t>5. TiÒn chi ®Çu t­ gãp vèn vµo ®¬n vÞ kh¸c</t>
  </si>
  <si>
    <t>6. TiÒn thu håi ®Çu t­ gãp vèn vµo ®¬n vÞ kh¸c</t>
  </si>
  <si>
    <t>7. TiÒn thu l·i vay, cæ tøc vµ lîi nhuËn ®­îc chia</t>
  </si>
  <si>
    <t>L­u chuyÓn thuÇn tõ ho¹t ®éng ®Çu t­</t>
  </si>
  <si>
    <t>III - L­u chuyÓn tiÒn tõ ho¹t ®éng tµi chÝnh</t>
  </si>
  <si>
    <t>1. TiÒn thu tõ p.hµnh CP, nhËn vèn gãp cña CSH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</si>
  <si>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</si>
  <si>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</si>
  <si>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</si>
  <si>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</si>
  <si>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</si>
  <si>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</si>
  <si>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</si>
  <si>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</si>
  <si>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t>TiÒn &amp; t­¬ng ®­¬ng tiÒn cuèi kú (70=50+60+61)</t>
  </si>
  <si>
    <t>VII.34</t>
  </si>
  <si>
    <t xml:space="preserve">           (Ban hµnh theo Q§ sè 15/2006/Q§-BTC</t>
  </si>
  <si>
    <t xml:space="preserve">        MÉu sè B03a-DN</t>
  </si>
  <si>
    <t xml:space="preserve">           ngµy 20/03/2006 cña Bé tr­ëng BTC)</t>
  </si>
  <si>
    <t>+ Chi phÝ s¶n xuÊt kinh doanh dë dang</t>
  </si>
  <si>
    <t>+ ThuÕ gi¸ trÞ gia t¨ng t¹i Tp HCM</t>
  </si>
  <si>
    <t>+ L·i vay NH C«ng th­¬ng HD</t>
  </si>
  <si>
    <t>+ B¶o hiÓm y tÕ</t>
  </si>
  <si>
    <t>+ B¶o hiÓm thÊt nghiÖp</t>
  </si>
  <si>
    <t xml:space="preserve">                        -   TK 3388</t>
  </si>
  <si>
    <t>12 - Chi phÝ x©y dùng c¬ b¶n dë dang</t>
  </si>
  <si>
    <t>13 - §Çu t­ dµi h¹n kh¸c</t>
  </si>
  <si>
    <t>14 - Chi phÝ tr¶ tr­íc dµi h¹n</t>
  </si>
  <si>
    <t>15 - Vay vµ nî ng¾n h¹n</t>
  </si>
  <si>
    <t>16 - ThuÕ vµ c¸c kho¶n ph¶i nép Nhµ n­íc</t>
  </si>
  <si>
    <t>17 -  Chi phÝ ph¶i tr¶</t>
  </si>
  <si>
    <t>18 -  C¸c kho¶n ph¶i tr¶, ph¶i nép ng¾n h¹n kh¸c</t>
  </si>
  <si>
    <t>19 - Ph¶i tr¶ dµi h¹n néi bé</t>
  </si>
  <si>
    <t>20 -  Vay vµ nî dµi h¹n</t>
  </si>
  <si>
    <t>22 -  Vèn chñ së h÷u</t>
  </si>
  <si>
    <t>23 -  Nguån kinh phÝ</t>
  </si>
  <si>
    <t>24 -  Tµi s¶n thuª ngoµi</t>
  </si>
  <si>
    <t>25 -  Tæng doanh thu b¸n hµng vµ cung cÊp dÞch vô</t>
  </si>
  <si>
    <t>26 -  C¸c kho¶n gi¶m trõ doanh thu</t>
  </si>
  <si>
    <t>27 -  Doanh thu thuÇn vÒ b¸n hµng vµ cung cÊp DV</t>
  </si>
  <si>
    <t>28 -  Gi¸ vèn hµng b¸n</t>
  </si>
  <si>
    <t>29 -  Doanh thu ho¹t ®éng tµi chÝnh</t>
  </si>
  <si>
    <t>30 -  Chi phÝ ho¹t ®éng tµi chÝnh</t>
  </si>
  <si>
    <t>31 -  Chi phÝ b¸n hµng</t>
  </si>
  <si>
    <t>32 - Chi phÝ qu¶n lý</t>
  </si>
  <si>
    <t>33 - Chi phÝ s¶n xuÊt KD theo yÕu tè</t>
  </si>
  <si>
    <r>
      <t xml:space="preserve">b¸o c¸o L­u chuyÓn tiÒn tÖ  </t>
    </r>
    <r>
      <rPr>
        <b/>
        <sz val="15"/>
        <rFont val=".VnTime"/>
        <family val="2"/>
      </rPr>
      <t xml:space="preserve"> </t>
    </r>
  </si>
  <si>
    <r>
      <t>¶</t>
    </r>
    <r>
      <rPr>
        <sz val="11"/>
        <rFont val=".VnArial Narrow"/>
        <family val="2"/>
      </rPr>
      <t>nh h­ëng cña thay ®æi TGH§ quy ®æi ngo¹i tÖ</t>
    </r>
  </si>
  <si>
    <t xml:space="preserve">              C«ng ty CP ChÕ T¹o B¬m h¶I D­¬ng</t>
  </si>
  <si>
    <t xml:space="preserve">                                   MÉu sè B02a-DN</t>
  </si>
  <si>
    <t>+ Vay ng¾n h¹n Tæng Cty CP TB§ ViÖt Nam</t>
  </si>
  <si>
    <t xml:space="preserve">             NguyÔn ThÞ Thu Thuû                  Bïi ThÞ LÖ Thuû                          NguyÔn Träng Nam                     </t>
  </si>
  <si>
    <t>+ Nhµ ¨n ca t¹m cña C«ng ty t¹i CS II</t>
  </si>
  <si>
    <t xml:space="preserve">+ Nhµ lµm viÖc t¹m khèi v¨n phßng t¹i CS II </t>
  </si>
  <si>
    <t>+ Nhµ vÖ sinh cña khèi v¨n phßng t¹m t¹i CS II</t>
  </si>
  <si>
    <t>2- C¸c kho¶n ®Çu t­ tµi chÝnh ng¾n h¹n</t>
  </si>
  <si>
    <t xml:space="preserve">vµo gi¸ trÞ c«ng tr×nh, tµi s¶n, bao gåm c¸c kho¶n l·i tiÒn vay, c¸c kho¶n chiÕt khÊu hoÆc phô  </t>
  </si>
  <si>
    <t>tréi khi ph¸t hµnh tr¸i phiÕu, c¸c kho¶n chi phÝ ph¸t sinh liªn quan tíi qu¸ tr×nh lµm thñ tôc vay.</t>
  </si>
  <si>
    <t>nhËn lµ chi phÝ tr¶ tr­íc ng¾n h¹n</t>
  </si>
  <si>
    <t xml:space="preserve">- C¸c chi phÝ tr¶ tr­íc liªn quan ®Õn chi phÝ s¶n xuÊt kinh doanh n¨m tµi chÝnh hiÖn t¹i ®­îc ghi   </t>
  </si>
  <si>
    <t>dµi h¹n ph©n bæ dÇn vµo kÕt qu¶ ho¹t ®éng kinh doanh:</t>
  </si>
  <si>
    <t xml:space="preserve">- C¸c chi phÝ sau ®©y ®· ph¸t sinh trong n¨m tµi chÝnh nh­ng ®­îc h¹ch to¸n vµo chi phÝ tr¶ tr­íc </t>
  </si>
  <si>
    <r>
      <t>1. ChÕ ®é kÕ to¸n ¸p dông:</t>
    </r>
    <r>
      <rPr>
        <i/>
        <sz val="12"/>
        <color indexed="12"/>
        <rFont val=".VnTime"/>
        <family val="2"/>
      </rPr>
      <t xml:space="preserve"> </t>
    </r>
    <r>
      <rPr>
        <i/>
        <sz val="12"/>
        <color indexed="12"/>
        <rFont val=".VnTimeH"/>
        <family val="2"/>
      </rPr>
      <t>¸</t>
    </r>
    <r>
      <rPr>
        <i/>
        <sz val="12"/>
        <color indexed="12"/>
        <rFont val=".VnTime"/>
        <family val="2"/>
      </rPr>
      <t>p dông chÕ ®é kÕ to¸n ViÖt Nam ban hµnh theo quyÕt ®Þnh sè 15/2006/Q§</t>
    </r>
  </si>
  <si>
    <t xml:space="preserve">-BTC ngµy 20/03/2006, quyÕt ®Þnh sè 244/2009/Q§-BTC ngµy 31/12/2009, LuËt kÕ to¸n  2003, c¸c </t>
  </si>
  <si>
    <t>chuÈn mùc kÕ to¸n ViÖt Nam do Bé Tµi chÝnh ban hµnh c¸c v¨n b¶n h­íng dÉn  thùc hiÖn kÌm theo.</t>
  </si>
  <si>
    <t>4. Nguyªn t¾c ghi nhËn c¸c kho¶n ph¶i thu th­¬ng m¹i vµ ph¶i thu kh¸c</t>
  </si>
  <si>
    <r>
      <t xml:space="preserve">4.1.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</si>
  <si>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4.2. LËp dù phßng ph¶i thu:</t>
  </si>
  <si>
    <t>5. Nguyªn t¾c ghi nhËn vµ khÊu hao bÊt ®éng s¶n ®Çu t­.</t>
  </si>
  <si>
    <t>6. Nguyªn t¾c ghi nhËn c¸c kho¶n ®Çu t­ tµi chÝnh.</t>
  </si>
  <si>
    <t>6.1. Nguyªn t¾c ghi nhËn c¸c kho¶n ®Çu t­ vµo c«ng ty con, c«ng ty liªn kÕt.</t>
  </si>
  <si>
    <t>6.2. Nguyªn t¾c ghi nhËn c¸c kho¶n ®Çu t­ chøng kho¸n ng¾n h¹n, dµi h¹n.</t>
  </si>
  <si>
    <t>6.3. Nguyªn t¾c ghi nhËn c¸c kho¶n ®Çu t­  ng¾n h¹n, dµi h¹n kh¸c.</t>
  </si>
  <si>
    <t>6.4. Ph­¬ng ph¸p lËp dù phßng gi¶m gi¸ ®Çu t­ chøng kho¸n ng¾n h¹n, dµi h¹n.</t>
  </si>
  <si>
    <t>6.5. Ph­¬ng ph¸p ghi nhËn lËp dù phßng b¶o hµnh s¶n phÈm.</t>
  </si>
  <si>
    <t>7. Nguyªn t¾c vèn ho¸ c¸c kho¶n chi phÝ ®i vay vµ c¸c kho¶n chi phÝ kh¸c.</t>
  </si>
  <si>
    <t>7.1. Nguyªn t¾c vèn ho¸ c¸c kho¶n chi phÝ ®i vay.</t>
  </si>
  <si>
    <t>7.2. Tû lÖ vèn ho¸ chi phÝ ®i vay ®­îc sö dông ®Ó x¸c ®Þnh chi phÝ ®i vay ®­îc vèn ho¸ trong kú</t>
  </si>
  <si>
    <t>8. Nguyªn t¾c ghi nhËn vµ vèn ho¸ c¸c kho¶n chi phÝ kh¸c:</t>
  </si>
  <si>
    <t>8.1. Chi phÝ tr¶ tr­íc</t>
  </si>
  <si>
    <t>8.2. Chi phÝ kh¸c</t>
  </si>
  <si>
    <t>8.3. Ph­¬ng ph¸p ph©n bæ chi phÝ tr¶ tr­íc:</t>
  </si>
  <si>
    <t>9. Nguyªn t¾c ghi nhËn chi phÝ tr¶ tr­íc</t>
  </si>
  <si>
    <t>10. Nguyªn t¾c vµ ph­¬ng ph¸p ghi nhËn c¸c kho¶n dù phßng ph¶i tr¶.</t>
  </si>
  <si>
    <t>10.1. Nguyªn t¾c ghi nhËn</t>
  </si>
  <si>
    <t>10.2. Ph­¬ng ph¸p ghi nhËn</t>
  </si>
  <si>
    <t>11. Nguyªn t¾c ghi nhËn vèn chñ së h÷u:</t>
  </si>
  <si>
    <t>12. Nguyªn t¾c vµ ph­¬ng ph¸p ghi nhËn doanh thu:</t>
  </si>
  <si>
    <t>12.1. Doanh thu b¸n hµng vµ cung cÊp dÞch vô ®­îc ghi nhËn khi ®ång thêi tho¶ m·n c¸c ®iÒu kiÖn sau:</t>
  </si>
  <si>
    <t>12.2. Doanh thu ho¹t ®éng tµi chÝnh</t>
  </si>
  <si>
    <t>13. Nguyªn t¾c vµ ph­¬ng ph¸p ghi nhËn chi phÝ tµi chÝnh</t>
  </si>
  <si>
    <t xml:space="preserve">14. Nguyªn t¾c vµ ph­¬ng ph¸p ghi nhËn chi phÝ thuÕ thu nhËp doanh nghiÖp hiÖn hµnh, chi phÝ </t>
  </si>
  <si>
    <t>15. C¸c nghiÖp vô dù phßng rñi ro hèi ®o¸i.</t>
  </si>
  <si>
    <t>16. C¸c nguyªn t¾c vµ ph­¬ng ph¸p kÕ to¸n kh¸c.</t>
  </si>
  <si>
    <t>4 -  Hµng tån kho</t>
  </si>
  <si>
    <t>Vèn chñ së h÷u ®­îc ghi nhËn trªn nguyªn t¾c mÖnh gi¸ vèn ®Çu t­ cæ phÇn vµ thÆng d­ cæ phÇn.</t>
  </si>
  <si>
    <t xml:space="preserve">           KÕ to¸n tæng hîp           gi¸m ®èc tµi chÝnh         tæng gi¸m ®èc c«ng ty</t>
  </si>
  <si>
    <t xml:space="preserve">            NguyÔn ThÞ Thu Thuû                     Bïi ThÞ LÖ Thuû                         NguyÔn Träng Nam</t>
  </si>
  <si>
    <t xml:space="preserve">2. TiÒn chi tr¶ vèn gãp cho c¸c CSH, mua l¹i CP </t>
  </si>
  <si>
    <t>+ CÇu trôc ch©n quú 1 tÊn sè 1 NMCK CS II</t>
  </si>
  <si>
    <t>+ CÇu trôc ch©n quú 1 tÊn sè 2 NMCK CS II</t>
  </si>
  <si>
    <t>+ Nhµ nÐn khÝ x­ëng §óc</t>
  </si>
  <si>
    <t>Cho kú ho¹t ®éng tõ 01/07 ®Õn 30/09</t>
  </si>
  <si>
    <t>1. TiÒn chi ®Ó mua s¾m, XD TSC§ vµ c¸c TSDH #</t>
  </si>
  <si>
    <t>H¶i D­¬ng, ngµy  09 th¸ng 10 n¨m 2012</t>
  </si>
  <si>
    <t xml:space="preserve">                 Tel: 0320 3844876, Fax: 03203858606, Email: hpmchd@vnn.vn</t>
  </si>
  <si>
    <t xml:space="preserve">             Sè 37 §¹i lé Hå ChÝ Minh - TP H¶i D­¬ng</t>
  </si>
  <si>
    <t>+ Lç chªnh lÖch tû gi¸ ®· thùc hiÖn</t>
  </si>
  <si>
    <t>dông cô</t>
  </si>
  <si>
    <t>qu¶n lý</t>
  </si>
  <si>
    <t xml:space="preserve">PhÇn mÒm </t>
  </si>
  <si>
    <t>m¸y</t>
  </si>
  <si>
    <t>vi tÝnh</t>
  </si>
  <si>
    <t>Cæ</t>
  </si>
  <si>
    <t>phiÕu</t>
  </si>
  <si>
    <t>quü</t>
  </si>
  <si>
    <t>+ CÇu trôc ch©n quú 2 tÊn sè 2 NM C¬ khÝ CSII</t>
  </si>
  <si>
    <t xml:space="preserve">+ Phßng thö c©n b»ng ®éng                                         </t>
  </si>
  <si>
    <t>+ M¸y tiÖn ®øng 2 trô 2 ®Çu dao NMCK CS II</t>
  </si>
  <si>
    <t xml:space="preserve">+ Nhµ kho X­ëng C¬ khÝ                                            </t>
  </si>
  <si>
    <t xml:space="preserve">+ Nhµ thay ®å X­ëng §óc CSII    </t>
  </si>
  <si>
    <t xml:space="preserve">+ Lß nung ®iÖn trë (trän bé)                                      </t>
  </si>
  <si>
    <t xml:space="preserve">+ B·i ®Ó xØ lß sau x­ëng §óc               </t>
  </si>
  <si>
    <t>+ ThuÕ gi¸ trÞ gia t¨ng t¹i Tp Hµ Néi</t>
  </si>
  <si>
    <t>+ L·i ph¶i tr¶ tiÒn ký quü cña ®¹i lý Phóc H¶i</t>
  </si>
  <si>
    <t>+ PhÝ kiÓm to¸n BCTC n¨m 2012</t>
  </si>
  <si>
    <t>8. Doanh thu ch­a thùc hiÖn</t>
  </si>
  <si>
    <t xml:space="preserve">       Ph¶i thu kh¸c - TK 338 </t>
  </si>
  <si>
    <t xml:space="preserve">                        -   TK 141</t>
  </si>
  <si>
    <t xml:space="preserve">   H¶i D­¬ng, ngµy  09 th¸ng 01 n¨m 2013</t>
  </si>
  <si>
    <t>N¨m 2012</t>
  </si>
  <si>
    <t xml:space="preserve">                                                     (Ban hµnh theo Q§ sè 15/2006/Q§-BTC</t>
  </si>
  <si>
    <t xml:space="preserve">        Trong ®ã: Chi phÝ l·i vay ph¶i tr¶</t>
  </si>
  <si>
    <r>
      <t xml:space="preserve">                     Tel: 0320 3844876, Fax: 03203858606, Email: hpmchd@vnn.vn, Website: www.hpmc.com.vn                                  </t>
    </r>
    <r>
      <rPr>
        <sz val="8"/>
        <rFont val=".VnTime"/>
        <family val="2"/>
      </rPr>
      <t xml:space="preserve"> </t>
    </r>
    <r>
      <rPr>
        <i/>
        <sz val="8"/>
        <rFont val=".vntime"/>
        <family val="2"/>
      </rPr>
      <t xml:space="preserve"> cña Bé tr­ëng BTC)</t>
    </r>
  </si>
  <si>
    <t xml:space="preserve">                 C«ng ty CP ChÕ T¹o B¬m h¶I D­¬ng                                                                </t>
  </si>
  <si>
    <t xml:space="preserve">MÉu sè B03-DN     </t>
  </si>
  <si>
    <t xml:space="preserve">    cña Bé tr­ëng BTC)</t>
  </si>
  <si>
    <t>Chªnh lÖch tû gi¸ thùc tÕ ph¸t sinh ®­îc kÕt chuyÓn vµo doanh thu hoÆc chi phÝ tµi chÝnh trong n¨m tµi chÝnh.</t>
  </si>
  <si>
    <t>®­îc c¨n cø vµo tÝnh chÊt, møc ®é tõng lo¹i chi phÝ ®Ó chän ph­¬ng ph¸p vµ tiªu thøc ph©n bæ hîp lý.</t>
  </si>
  <si>
    <t>thiÕt</t>
  </si>
  <si>
    <t>bÞ</t>
  </si>
  <si>
    <t>+ Nhµ mµi s¶n phÈm X­ëng CKLR</t>
  </si>
  <si>
    <t>+ ThuÕ gi¸ trÞ gia t¨ng t¹i HD</t>
  </si>
  <si>
    <t xml:space="preserve">+ ThuÕ GTGT ®Çu ra </t>
  </si>
  <si>
    <t>+ L·i ph¶i tr¶ tiÒn ký quü cña ®¹i lý L¾p ®Æt b¬m</t>
  </si>
  <si>
    <t>Cho kú ho¹t ®éng tõ 01/01 ®Õn 31/03</t>
  </si>
  <si>
    <t>N¨m 2013</t>
  </si>
  <si>
    <t>- Gi¶m gi¸ hµng b¸n</t>
  </si>
  <si>
    <t>+ L·i chËm tr¶ cña kh¸ch hµng</t>
  </si>
  <si>
    <t>+ ChiÕt khÊu thanh to¸n</t>
  </si>
  <si>
    <t>+ L·i ký quü c¸c H§ §¹i lý</t>
  </si>
  <si>
    <r>
      <t xml:space="preserve">                  Tel: 0320 3844876, Fax: 03203858606, Email: hpmchd@vnn.vn, Website: www.hpmc.com.vn                  </t>
    </r>
    <r>
      <rPr>
        <b/>
        <sz val="9"/>
        <rFont val=".VnArial Narrow"/>
        <family val="2"/>
      </rPr>
      <t xml:space="preserve"> </t>
    </r>
    <r>
      <rPr>
        <i/>
        <sz val="9"/>
        <rFont val=".VnArial Narrow"/>
        <family val="2"/>
      </rPr>
      <t>ngµy 20/03/2006 cña Bé tr­ëng BTC)</t>
    </r>
  </si>
  <si>
    <t>+ TiÒn göi ng¾n h¹n 6 th¸ng</t>
  </si>
  <si>
    <t>+ Nî dµi h¹n NH CT H¶i D­¬ng ®Õn h¹n tr¶</t>
  </si>
  <si>
    <t>+ Vay ng¾n h¹n Cty CP ChÕ t¹o §iÖn c¬ Hµ Néi</t>
  </si>
  <si>
    <t>T¹i ngµy 30 th¸ng 06 n¨m 2013</t>
  </si>
  <si>
    <t>QuÝ II n¨m 2013</t>
  </si>
  <si>
    <t>1. Niªn ®é kÕ to¸n b¾t ®Çu tõ 01/01/2013 kÕt thóc 31/12/2013</t>
  </si>
  <si>
    <t>+ Vay ng¾n h¹n NH §Çu t­ vµ PT H¶i D­¬ng</t>
  </si>
  <si>
    <t>+ Vay ng¾n h¹n cña CB CNV C«ng ty</t>
  </si>
  <si>
    <t xml:space="preserve">   H¶i D­¬ng, ngµy  09 th¸ng 07 n¨m 2013</t>
  </si>
  <si>
    <t>- Hµng b¸n bÞ tr¶ l¹i</t>
  </si>
  <si>
    <t>+ L·i chªnh lÖch ngo¹i tÖ</t>
  </si>
  <si>
    <t>+ BHXH, BHYT, BHTN, KPC§</t>
  </si>
  <si>
    <t xml:space="preserve">                               H¶i D­¬ng, ngµy  09 th¸ng 07 n¨m 2013</t>
  </si>
  <si>
    <t>Luü kÕ</t>
  </si>
  <si>
    <t>Cho kú BC tõ 01/04 ®Õn 30/06</t>
  </si>
  <si>
    <t xml:space="preserve">M·
 sè
</t>
  </si>
  <si>
    <t>ThuyÕt minh</t>
  </si>
  <si>
    <t xml:space="preserve">         KÕ to¸n tæng hîp                     gi¸m ®èc tµi chÝnh                     tæng gi¸m ®èc c«ng ty</t>
  </si>
  <si>
    <t xml:space="preserve">         NguyÔn ThÞ Thu Thuû                               Bïi ThÞ LÖ Thuû                                      NguyÔn Träng Nam</t>
  </si>
  <si>
    <t xml:space="preserve">                 Sè 37 §¹i lé Hå ChÝ Minh - TP H¶i D­¬ng</t>
  </si>
  <si>
    <t xml:space="preserve"> (Ban hµnh theo Q§ sè 15/2006/Q§-BTCngµy 20/3/2006)</t>
  </si>
  <si>
    <r>
      <t xml:space="preserve"> Thùc hiÖn Th«ng t­  45/2013/TT-BTC ngµy 25/04/2013 cña Bé Tµi chÝnh, h­íng </t>
    </r>
    <r>
      <rPr>
        <i/>
        <sz val="12"/>
        <color indexed="12"/>
        <rFont val="Times New Roman"/>
        <family val="1"/>
      </rPr>
      <t>dẫn chế độ quản lý, sử
 dụng và trích khấu hao tài sản cố định.</t>
    </r>
  </si>
  <si>
    <t>+ L·i vay ph¶i tr¶ Cty CP ChÕ t¹o §iÖn c¬ HN (Th 5-6/13)</t>
  </si>
  <si>
    <t>+ L·i vay ph¶i tr¶ Tæng Cty CP TB§ VN  (Th¸ng 06/2013)</t>
  </si>
  <si>
    <t>p</t>
  </si>
  <si>
    <t>+ Tµi s¶n cè ®Þnh chuyÓn ®æi theo Th«ng t­ 45/2013</t>
  </si>
  <si>
    <t>NguyÔn ThÞ Thu Thuû</t>
  </si>
  <si>
    <t>Bïi ThÞ LÖ Thuû</t>
  </si>
  <si>
    <t>NguyÔn Träng Nam</t>
  </si>
  <si>
    <t>tæng gi¸m ®èc c«ng ty</t>
  </si>
  <si>
    <t>gi¸m ®èc tµi chÝnh</t>
  </si>
  <si>
    <t xml:space="preserve">KÕ to¸n tæng hîp                    </t>
  </si>
  <si>
    <t xml:space="preserve">                         </t>
  </si>
  <si>
    <t>H¶i D­¬ng, ngµy  09 th¸ng 07 n¨m 2013</t>
  </si>
  <si>
    <t>+ ChuyÓn sang c«ng cô dông cô theo th«ng t­ 45/TT-BTC  ngµy 25/4/2013</t>
  </si>
  <si>
    <t>Söa ch÷a, ®¹i tu xe n©ng hµng ch­a ph©n bæ</t>
  </si>
  <si>
    <t>H¶i D­¬ng, ngµy 09 th¸ng 07 n¨m 2013</t>
  </si>
  <si>
    <t xml:space="preserve">        C«ng ty CP ChÕ T¹o B¬m H¶i D­¬ng</t>
  </si>
  <si>
    <t>MÉu CBTT-03</t>
  </si>
  <si>
    <t xml:space="preserve">        Sè 37 §¹i lé Hå ChÝ Minh - TP H¶i D­¬ng</t>
  </si>
  <si>
    <t xml:space="preserve">                                     C«ng ty</t>
  </si>
  <si>
    <t xml:space="preserve">       §iÖn tho¹i: 0320 3844 876/ 3853 496;  Fax: 0320 3585 606;  Email: hpmchd@vnn.vn</t>
  </si>
  <si>
    <t xml:space="preserve">                      CP ChÕ T¹o B¬m H¶i D­¬ng</t>
  </si>
  <si>
    <t>B¸o c¸o tµi chÝnh tãm t¾t</t>
  </si>
  <si>
    <t>I.A. B¶ng c©n ®èi kÕ to¸n</t>
  </si>
  <si>
    <t>STT</t>
  </si>
  <si>
    <t>Néi dung</t>
  </si>
  <si>
    <t xml:space="preserve">Số dư đầu kỳ 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</si>
  <si>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</si>
  <si>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</si>
  <si>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</si>
  <si>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</si>
  <si>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</si>
  <si>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</si>
  <si>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</si>
  <si>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</si>
  <si>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</si>
  <si>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</si>
  <si>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</si>
  <si>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</si>
  <si>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</si>
  <si>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</si>
  <si>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</si>
  <si>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</si>
  <si>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</si>
  <si>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</si>
  <si>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</si>
  <si>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</si>
  <si>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</si>
  <si>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</si>
  <si>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</si>
  <si>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</si>
  <si>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</si>
  <si>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</si>
  <si>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</si>
  <si>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</si>
  <si>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</si>
  <si>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</si>
  <si>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</si>
  <si>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</si>
  <si>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</si>
  <si>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</si>
  <si>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</si>
  <si>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</si>
  <si>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</si>
  <si>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</si>
  <si>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</si>
  <si>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</si>
  <si>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</si>
  <si>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</si>
  <si>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</si>
  <si>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</si>
  <si>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</si>
  <si>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</si>
  <si>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</si>
  <si>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</si>
  <si>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</si>
  <si>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</si>
  <si>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</si>
  <si>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</si>
  <si>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</si>
  <si>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</si>
  <si>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</si>
  <si>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</si>
  <si>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</si>
  <si>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</si>
  <si>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</si>
  <si>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</si>
  <si>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</si>
  <si>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H¶i D­¬ng, ngµy 10 th¸ng 07 n¨m 2013</t>
  </si>
  <si>
    <t>§¹i diÖn ph¸p luËt cña c«ng ty</t>
  </si>
</sst>
</file>

<file path=xl/styles.xml><?xml version="1.0" encoding="utf-8"?>
<styleSheet xmlns="http://schemas.openxmlformats.org/spreadsheetml/2006/main">
  <numFmts count="3">
    <numFmt numFmtId="164" formatCode="0.00_);\(0.00\)"/>
    <numFmt numFmtId="165" formatCode="#\ ###\ ###\ ###"/>
    <numFmt numFmtId="166" formatCode="#,##0.0"/>
  </numFmts>
  <fonts count="118">
    <font>
      <sz val="10"/>
      <name val="VnBravo Times"/>
    </font>
    <font>
      <sz val="10"/>
      <name val="VnBravo Times"/>
      <family val="1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1"/>
    </font>
    <font>
      <b/>
      <sz val="12"/>
      <color indexed="12"/>
      <name val=".VnArialH"/>
      <family val="2"/>
    </font>
    <font>
      <b/>
      <sz val="18"/>
      <color indexed="12"/>
      <name val=".VnArialH"/>
      <family val="2"/>
    </font>
    <font>
      <b/>
      <sz val="14"/>
      <color indexed="12"/>
      <name val=".VnArialH"/>
      <family val="2"/>
    </font>
    <font>
      <b/>
      <u/>
      <sz val="10"/>
      <color indexed="12"/>
      <name val=".VnTimeH"/>
      <family val="2"/>
    </font>
    <font>
      <b/>
      <u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b/>
      <sz val="12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u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12"/>
      <color indexed="12"/>
      <name val=".VnArial Narrow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.VnTimeH"/>
      <family val="2"/>
    </font>
    <font>
      <i/>
      <sz val="12"/>
      <color indexed="12"/>
      <name val="Times New Roman"/>
      <family val="1"/>
    </font>
    <font>
      <b/>
      <sz val="10"/>
      <name val="VnBravo Times"/>
      <family val="1"/>
    </font>
    <font>
      <b/>
      <u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/>
      <sz val="11.5"/>
      <color indexed="12"/>
      <name val=".vntime"/>
      <family val="2"/>
    </font>
    <font>
      <b/>
      <u/>
      <sz val="11"/>
      <color indexed="12"/>
      <name val=".VnTimeH"/>
      <family val="2"/>
    </font>
    <font>
      <b/>
      <u/>
      <sz val="10.5"/>
      <color indexed="12"/>
      <name val=".VnTimeH"/>
      <family val="2"/>
    </font>
    <font>
      <b/>
      <u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Arial Narrow"/>
      <family val="2"/>
    </font>
    <font>
      <b/>
      <sz val="13"/>
      <color indexed="12"/>
      <name val=".VnTime"/>
      <family val="2"/>
    </font>
    <font>
      <sz val="10"/>
      <name val=".VnTime"/>
      <family val="2"/>
    </font>
    <font>
      <i/>
      <sz val="11"/>
      <name val=".VnArial"/>
      <family val="2"/>
    </font>
    <font>
      <sz val="11"/>
      <name val=".VnArial NarrowH"/>
      <family val="2"/>
    </font>
    <font>
      <sz val="11"/>
      <name val=".VnArial Narrow"/>
      <family val="2"/>
    </font>
    <font>
      <b/>
      <i/>
      <sz val="11"/>
      <color indexed="10"/>
      <name val=".VnArial Narrow"/>
      <family val="2"/>
    </font>
    <font>
      <b/>
      <sz val="11"/>
      <color indexed="10"/>
      <name val=".VnArial Narrow"/>
      <family val="2"/>
    </font>
    <font>
      <b/>
      <sz val="11"/>
      <color indexed="12"/>
      <name val=".VnArial Narrow"/>
      <family val="2"/>
    </font>
    <font>
      <b/>
      <sz val="10"/>
      <name val=".VnArial Narrow"/>
      <family val="2"/>
    </font>
    <font>
      <b/>
      <sz val="10.5"/>
      <color indexed="10"/>
      <name val=".VnArial"/>
      <family val="2"/>
      <charset val="186"/>
    </font>
    <font>
      <b/>
      <sz val="15"/>
      <name val=".VnTimeH"/>
      <family val="2"/>
    </font>
    <font>
      <b/>
      <sz val="15"/>
      <name val=".VnTime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b/>
      <sz val="12"/>
      <color indexed="12"/>
      <name val=".VnTimeH"/>
      <family val="2"/>
    </font>
    <font>
      <sz val="13"/>
      <color indexed="12"/>
      <name val=".VnArial Narrow"/>
      <family val="2"/>
    </font>
    <font>
      <i/>
      <sz val="13"/>
      <color indexed="12"/>
      <name val=".VnArial Narrow"/>
      <family val="2"/>
    </font>
    <font>
      <sz val="10"/>
      <name val=".VnArial"/>
      <family val="2"/>
      <charset val="186"/>
    </font>
    <font>
      <b/>
      <sz val="10"/>
      <color indexed="10"/>
      <name val=".VnArial"/>
      <family val="2"/>
      <charset val="186"/>
    </font>
    <font>
      <b/>
      <sz val="10"/>
      <name val=".VnArial"/>
      <family val="2"/>
      <charset val="186"/>
    </font>
    <font>
      <b/>
      <sz val="10"/>
      <color indexed="12"/>
      <name val=".VnArial"/>
      <family val="2"/>
      <charset val="186"/>
    </font>
    <font>
      <sz val="9.5"/>
      <name val=".VnArial"/>
      <family val="2"/>
      <charset val="186"/>
    </font>
    <font>
      <b/>
      <sz val="9.5"/>
      <color indexed="10"/>
      <name val=".VnArial"/>
      <family val="2"/>
      <charset val="186"/>
    </font>
    <font>
      <b/>
      <sz val="9.5"/>
      <name val=".VnArial"/>
      <family val="2"/>
      <charset val="186"/>
    </font>
    <font>
      <b/>
      <sz val="9.5"/>
      <color indexed="12"/>
      <name val=".VnArial"/>
      <family val="2"/>
      <charset val="186"/>
    </font>
    <font>
      <sz val="9"/>
      <name val=".VnArial"/>
      <family val="2"/>
      <charset val="186"/>
    </font>
    <font>
      <b/>
      <sz val="9"/>
      <color indexed="10"/>
      <name val=".VnArial"/>
      <family val="2"/>
      <charset val="186"/>
    </font>
    <font>
      <b/>
      <sz val="9"/>
      <name val=".VnArial"/>
      <family val="2"/>
      <charset val="186"/>
    </font>
    <font>
      <b/>
      <u/>
      <sz val="9"/>
      <name val=".VnArial"/>
      <family val="2"/>
      <charset val="186"/>
    </font>
    <font>
      <b/>
      <u/>
      <sz val="9"/>
      <color indexed="12"/>
      <name val=".VnArial"/>
      <family val="2"/>
      <charset val="186"/>
    </font>
    <font>
      <b/>
      <sz val="10"/>
      <name val="VnBravo Times"/>
      <family val="1"/>
    </font>
    <font>
      <b/>
      <sz val="12"/>
      <color indexed="10"/>
      <name val=".vntime"/>
      <family val="2"/>
    </font>
    <font>
      <sz val="12.5"/>
      <color indexed="12"/>
      <name val=".VnArial Narrow"/>
      <family val="2"/>
    </font>
    <font>
      <i/>
      <sz val="12.5"/>
      <color indexed="12"/>
      <name val=".VnArial Narrow"/>
      <family val="2"/>
    </font>
    <font>
      <b/>
      <sz val="9"/>
      <name val=".VnArial"/>
      <family val="2"/>
    </font>
    <font>
      <b/>
      <i/>
      <sz val="10"/>
      <name val=".VnArial"/>
      <family val="2"/>
    </font>
    <font>
      <b/>
      <sz val="11"/>
      <name val=".VnTimeH"/>
      <family val="2"/>
    </font>
    <font>
      <i/>
      <sz val="8"/>
      <name val=".VnArial"/>
      <family val="2"/>
    </font>
    <font>
      <sz val="10"/>
      <color indexed="12"/>
      <name val=".VnTime"/>
      <family val="2"/>
    </font>
    <font>
      <sz val="10"/>
      <name val=".VnArial"/>
      <family val="2"/>
    </font>
    <font>
      <b/>
      <sz val="9"/>
      <color indexed="10"/>
      <name val=".VnArial"/>
      <family val="2"/>
    </font>
    <font>
      <sz val="9"/>
      <name val=".VnArial"/>
      <family val="2"/>
    </font>
    <font>
      <b/>
      <u/>
      <sz val="9"/>
      <color indexed="12"/>
      <name val=".VnArial"/>
      <family val="2"/>
    </font>
    <font>
      <b/>
      <u/>
      <sz val="9"/>
      <name val=".VnArial"/>
      <family val="2"/>
    </font>
    <font>
      <sz val="10"/>
      <color indexed="10"/>
      <name val=".VnArial"/>
      <family val="2"/>
    </font>
    <font>
      <sz val="8"/>
      <name val=".VnTime"/>
      <family val="2"/>
    </font>
    <font>
      <i/>
      <sz val="8"/>
      <name val=".vntime"/>
      <family val="2"/>
    </font>
    <font>
      <sz val="8.5"/>
      <name val=".VnArial"/>
      <family val="2"/>
      <charset val="186"/>
    </font>
    <font>
      <sz val="8.5"/>
      <color indexed="10"/>
      <name val=".VnArial"/>
      <family val="2"/>
      <charset val="186"/>
    </font>
    <font>
      <sz val="8"/>
      <name val="VnBravo Times"/>
      <family val="1"/>
    </font>
    <font>
      <i/>
      <sz val="10"/>
      <name val=".VnTime"/>
      <family val="2"/>
    </font>
    <font>
      <b/>
      <sz val="10"/>
      <color indexed="12"/>
      <name val=".VnTimeH"/>
      <family val="2"/>
    </font>
    <font>
      <sz val="12"/>
      <color indexed="12"/>
      <name val=".VnArial Narrow"/>
      <family val="2"/>
    </font>
    <font>
      <b/>
      <sz val="10.5"/>
      <name val=".VnArial"/>
      <family val="2"/>
      <charset val="186"/>
    </font>
    <font>
      <b/>
      <sz val="12"/>
      <name val=".VnBook-Antiqua"/>
      <family val="2"/>
    </font>
    <font>
      <b/>
      <sz val="8"/>
      <name val=".VnBook-Antiqua"/>
      <family val="2"/>
    </font>
    <font>
      <b/>
      <sz val="10.5"/>
      <name val=".VnBook-Antiqua"/>
      <family val="2"/>
    </font>
    <font>
      <sz val="10"/>
      <name val=".VnBook-Antiqua"/>
      <family val="2"/>
    </font>
    <font>
      <b/>
      <sz val="9"/>
      <name val=".VnTime"/>
      <family val="2"/>
    </font>
    <font>
      <b/>
      <sz val="10"/>
      <color indexed="12"/>
      <name val=".VnArialH"/>
      <family val="2"/>
    </font>
    <font>
      <b/>
      <sz val="12"/>
      <color indexed="12"/>
      <name val="Times New Roman"/>
      <family val="1"/>
    </font>
    <font>
      <b/>
      <u/>
      <sz val="12"/>
      <color indexed="12"/>
      <name val=".VnArial NarrowH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8">
    <xf numFmtId="0" fontId="0" fillId="0" borderId="0" xfId="0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7" fillId="0" borderId="0" xfId="0" applyNumberFormat="1" applyFont="1"/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Border="1"/>
    <xf numFmtId="3" fontId="8" fillId="0" borderId="0" xfId="0" applyNumberFormat="1" applyFont="1" applyAlignment="1">
      <alignment horizontal="center"/>
    </xf>
    <xf numFmtId="3" fontId="1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2" fillId="0" borderId="3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7" xfId="0" applyNumberFormat="1" applyFont="1" applyBorder="1"/>
    <xf numFmtId="3" fontId="2" fillId="0" borderId="7" xfId="0" applyNumberFormat="1" applyFont="1" applyBorder="1"/>
    <xf numFmtId="37" fontId="2" fillId="0" borderId="2" xfId="0" applyNumberFormat="1" applyFont="1" applyBorder="1"/>
    <xf numFmtId="3" fontId="8" fillId="0" borderId="7" xfId="0" applyNumberFormat="1" applyFont="1" applyBorder="1"/>
    <xf numFmtId="3" fontId="2" fillId="0" borderId="7" xfId="0" quotePrefix="1" applyNumberFormat="1" applyFont="1" applyBorder="1"/>
    <xf numFmtId="3" fontId="2" fillId="0" borderId="8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5" fillId="0" borderId="0" xfId="0" applyNumberFormat="1" applyFont="1"/>
    <xf numFmtId="3" fontId="21" fillId="0" borderId="0" xfId="0" applyNumberFormat="1" applyFont="1"/>
    <xf numFmtId="3" fontId="8" fillId="0" borderId="3" xfId="0" applyNumberFormat="1" applyFont="1" applyBorder="1"/>
    <xf numFmtId="3" fontId="0" fillId="0" borderId="0" xfId="0" applyNumberFormat="1"/>
    <xf numFmtId="3" fontId="0" fillId="0" borderId="9" xfId="0" applyNumberFormat="1" applyBorder="1"/>
    <xf numFmtId="3" fontId="10" fillId="0" borderId="0" xfId="0" applyNumberFormat="1" applyFont="1"/>
    <xf numFmtId="3" fontId="8" fillId="0" borderId="0" xfId="0" applyNumberFormat="1" applyFont="1"/>
    <xf numFmtId="3" fontId="2" fillId="0" borderId="0" xfId="0" quotePrefix="1" applyNumberFormat="1" applyFont="1"/>
    <xf numFmtId="3" fontId="8" fillId="0" borderId="0" xfId="0" quotePrefix="1" applyNumberFormat="1" applyFont="1"/>
    <xf numFmtId="3" fontId="8" fillId="0" borderId="0" xfId="0" quotePrefix="1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0" quotePrefix="1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quotePrefix="1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10" fillId="0" borderId="4" xfId="0" applyNumberFormat="1" applyFont="1" applyBorder="1"/>
    <xf numFmtId="3" fontId="2" fillId="0" borderId="10" xfId="0" applyNumberFormat="1" applyFont="1" applyBorder="1"/>
    <xf numFmtId="3" fontId="2" fillId="0" borderId="11" xfId="0" quotePrefix="1" applyNumberFormat="1" applyFont="1" applyBorder="1"/>
    <xf numFmtId="3" fontId="2" fillId="0" borderId="12" xfId="0" applyNumberFormat="1" applyFont="1" applyBorder="1"/>
    <xf numFmtId="3" fontId="2" fillId="0" borderId="2" xfId="0" quotePrefix="1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left"/>
    </xf>
    <xf numFmtId="3" fontId="2" fillId="0" borderId="15" xfId="0" applyNumberFormat="1" applyFont="1" applyBorder="1"/>
    <xf numFmtId="3" fontId="2" fillId="0" borderId="1" xfId="0" quotePrefix="1" applyNumberFormat="1" applyFont="1" applyBorder="1"/>
    <xf numFmtId="3" fontId="2" fillId="0" borderId="16" xfId="0" applyNumberFormat="1" applyFont="1" applyBorder="1"/>
    <xf numFmtId="3" fontId="2" fillId="0" borderId="17" xfId="0" quotePrefix="1" applyNumberFormat="1" applyFont="1" applyBorder="1"/>
    <xf numFmtId="3" fontId="2" fillId="0" borderId="17" xfId="0" applyNumberFormat="1" applyFont="1" applyBorder="1"/>
    <xf numFmtId="3" fontId="10" fillId="0" borderId="13" xfId="0" applyNumberFormat="1" applyFont="1" applyBorder="1"/>
    <xf numFmtId="3" fontId="2" fillId="0" borderId="5" xfId="0" applyNumberFormat="1" applyFont="1" applyBorder="1"/>
    <xf numFmtId="3" fontId="2" fillId="0" borderId="11" xfId="0" applyNumberFormat="1" applyFont="1" applyBorder="1"/>
    <xf numFmtId="3" fontId="10" fillId="0" borderId="5" xfId="0" applyNumberFormat="1" applyFont="1" applyBorder="1"/>
    <xf numFmtId="3" fontId="2" fillId="0" borderId="18" xfId="0" applyNumberFormat="1" applyFont="1" applyBorder="1"/>
    <xf numFmtId="3" fontId="2" fillId="0" borderId="3" xfId="0" quotePrefix="1" applyNumberFormat="1" applyFont="1" applyBorder="1"/>
    <xf numFmtId="3" fontId="2" fillId="0" borderId="13" xfId="0" applyNumberFormat="1" applyFont="1" applyBorder="1"/>
    <xf numFmtId="3" fontId="3" fillId="0" borderId="5" xfId="0" applyNumberFormat="1" applyFont="1" applyBorder="1"/>
    <xf numFmtId="3" fontId="2" fillId="0" borderId="10" xfId="0" quotePrefix="1" applyNumberFormat="1" applyFont="1" applyBorder="1"/>
    <xf numFmtId="3" fontId="3" fillId="0" borderId="19" xfId="0" applyNumberFormat="1" applyFont="1" applyBorder="1"/>
    <xf numFmtId="3" fontId="2" fillId="0" borderId="20" xfId="0" applyNumberFormat="1" applyFont="1" applyBorder="1"/>
    <xf numFmtId="3" fontId="8" fillId="0" borderId="12" xfId="0" applyNumberFormat="1" applyFont="1" applyBorder="1"/>
    <xf numFmtId="3" fontId="10" fillId="0" borderId="0" xfId="0" applyNumberFormat="1" applyFont="1" applyBorder="1"/>
    <xf numFmtId="3" fontId="2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3" fillId="0" borderId="6" xfId="0" applyNumberFormat="1" applyFont="1" applyBorder="1"/>
    <xf numFmtId="3" fontId="19" fillId="0" borderId="23" xfId="0" applyNumberFormat="1" applyFont="1" applyBorder="1"/>
    <xf numFmtId="3" fontId="2" fillId="0" borderId="23" xfId="0" applyNumberFormat="1" applyFont="1" applyBorder="1"/>
    <xf numFmtId="3" fontId="8" fillId="0" borderId="7" xfId="0" quotePrefix="1" applyNumberFormat="1" applyFont="1" applyBorder="1"/>
    <xf numFmtId="3" fontId="10" fillId="0" borderId="7" xfId="0" applyNumberFormat="1" applyFont="1" applyBorder="1"/>
    <xf numFmtId="3" fontId="19" fillId="0" borderId="7" xfId="0" applyNumberFormat="1" applyFont="1" applyBorder="1"/>
    <xf numFmtId="3" fontId="3" fillId="0" borderId="8" xfId="0" applyNumberFormat="1" applyFont="1" applyBorder="1"/>
    <xf numFmtId="3" fontId="3" fillId="0" borderId="23" xfId="0" applyNumberFormat="1" applyFont="1" applyBorder="1"/>
    <xf numFmtId="3" fontId="3" fillId="0" borderId="7" xfId="0" applyNumberFormat="1" applyFont="1" applyBorder="1" applyAlignment="1">
      <alignment horizontal="right"/>
    </xf>
    <xf numFmtId="3" fontId="3" fillId="0" borderId="7" xfId="0" quotePrefix="1" applyNumberFormat="1" applyFont="1" applyBorder="1"/>
    <xf numFmtId="3" fontId="3" fillId="0" borderId="8" xfId="0" quotePrefix="1" applyNumberFormat="1" applyFont="1" applyBorder="1"/>
    <xf numFmtId="3" fontId="3" fillId="0" borderId="0" xfId="0" quotePrefix="1" applyNumberFormat="1" applyFont="1" applyBorder="1"/>
    <xf numFmtId="3" fontId="3" fillId="0" borderId="4" xfId="0" quotePrefix="1" applyNumberFormat="1" applyFont="1" applyBorder="1"/>
    <xf numFmtId="3" fontId="3" fillId="0" borderId="5" xfId="0" quotePrefix="1" applyNumberFormat="1" applyFont="1" applyBorder="1" applyAlignment="1">
      <alignment horizontal="center"/>
    </xf>
    <xf numFmtId="3" fontId="10" fillId="0" borderId="24" xfId="0" applyNumberFormat="1" applyFont="1" applyBorder="1"/>
    <xf numFmtId="3" fontId="2" fillId="0" borderId="25" xfId="0" applyNumberFormat="1" applyFont="1" applyBorder="1"/>
    <xf numFmtId="3" fontId="3" fillId="0" borderId="26" xfId="0" applyNumberFormat="1" applyFont="1" applyBorder="1" applyAlignment="1">
      <alignment horizontal="center"/>
    </xf>
    <xf numFmtId="3" fontId="8" fillId="0" borderId="2" xfId="0" quotePrefix="1" applyNumberFormat="1" applyFont="1" applyBorder="1"/>
    <xf numFmtId="3" fontId="8" fillId="0" borderId="3" xfId="0" quotePrefix="1" applyNumberFormat="1" applyFont="1" applyBorder="1"/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7" fontId="2" fillId="0" borderId="7" xfId="0" applyNumberFormat="1" applyFont="1" applyBorder="1"/>
    <xf numFmtId="3" fontId="2" fillId="0" borderId="27" xfId="0" quotePrefix="1" applyNumberFormat="1" applyFont="1" applyBorder="1"/>
    <xf numFmtId="3" fontId="2" fillId="0" borderId="8" xfId="0" quotePrefix="1" applyNumberFormat="1" applyFont="1" applyBorder="1"/>
    <xf numFmtId="3" fontId="3" fillId="0" borderId="21" xfId="0" applyNumberFormat="1" applyFont="1" applyBorder="1"/>
    <xf numFmtId="3" fontId="2" fillId="0" borderId="23" xfId="0" quotePrefix="1" applyNumberFormat="1" applyFont="1" applyBorder="1"/>
    <xf numFmtId="3" fontId="2" fillId="0" borderId="19" xfId="0" applyNumberFormat="1" applyFont="1" applyBorder="1"/>
    <xf numFmtId="3" fontId="2" fillId="0" borderId="0" xfId="0" quotePrefix="1" applyNumberFormat="1" applyFont="1" applyBorder="1"/>
    <xf numFmtId="3" fontId="32" fillId="0" borderId="5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3" fillId="0" borderId="2" xfId="0" quotePrefix="1" applyNumberFormat="1" applyFont="1" applyBorder="1"/>
    <xf numFmtId="3" fontId="10" fillId="0" borderId="12" xfId="0" applyNumberFormat="1" applyFont="1" applyBorder="1"/>
    <xf numFmtId="3" fontId="3" fillId="0" borderId="15" xfId="0" applyNumberFormat="1" applyFont="1" applyBorder="1"/>
    <xf numFmtId="3" fontId="10" fillId="0" borderId="14" xfId="0" applyNumberFormat="1" applyFont="1" applyBorder="1"/>
    <xf numFmtId="3" fontId="3" fillId="0" borderId="10" xfId="0" applyNumberFormat="1" applyFont="1" applyBorder="1"/>
    <xf numFmtId="3" fontId="2" fillId="0" borderId="28" xfId="0" applyNumberFormat="1" applyFont="1" applyBorder="1"/>
    <xf numFmtId="3" fontId="2" fillId="0" borderId="29" xfId="0" quotePrefix="1" applyNumberFormat="1" applyFont="1" applyBorder="1"/>
    <xf numFmtId="3" fontId="2" fillId="0" borderId="29" xfId="0" applyNumberFormat="1" applyFont="1" applyBorder="1"/>
    <xf numFmtId="3" fontId="3" fillId="0" borderId="18" xfId="0" applyNumberFormat="1" applyFont="1" applyBorder="1"/>
    <xf numFmtId="3" fontId="2" fillId="0" borderId="30" xfId="0" applyNumberFormat="1" applyFont="1" applyBorder="1"/>
    <xf numFmtId="3" fontId="33" fillId="0" borderId="0" xfId="0" applyNumberFormat="1" applyFont="1"/>
    <xf numFmtId="3" fontId="28" fillId="0" borderId="0" xfId="0" applyNumberFormat="1" applyFont="1" applyBorder="1" applyAlignment="1"/>
    <xf numFmtId="3" fontId="30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28" xfId="0" applyNumberFormat="1" applyFont="1" applyBorder="1"/>
    <xf numFmtId="3" fontId="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164" fontId="26" fillId="0" borderId="0" xfId="0" applyNumberFormat="1" applyFont="1"/>
    <xf numFmtId="3" fontId="2" fillId="0" borderId="5" xfId="0" quotePrefix="1" applyNumberFormat="1" applyFont="1" applyBorder="1"/>
    <xf numFmtId="3" fontId="24" fillId="0" borderId="0" xfId="0" applyNumberFormat="1" applyFont="1" applyAlignment="1"/>
    <xf numFmtId="3" fontId="24" fillId="0" borderId="9" xfId="0" applyNumberFormat="1" applyFont="1" applyBorder="1" applyAlignment="1"/>
    <xf numFmtId="37" fontId="3" fillId="0" borderId="4" xfId="0" applyNumberFormat="1" applyFont="1" applyBorder="1"/>
    <xf numFmtId="164" fontId="25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16" xfId="0" quotePrefix="1" applyNumberFormat="1" applyFont="1" applyBorder="1"/>
    <xf numFmtId="3" fontId="27" fillId="0" borderId="9" xfId="0" applyNumberFormat="1" applyFont="1" applyBorder="1"/>
    <xf numFmtId="3" fontId="2" fillId="0" borderId="4" xfId="0" applyNumberFormat="1" applyFont="1" applyBorder="1"/>
    <xf numFmtId="3" fontId="40" fillId="0" borderId="1" xfId="0" applyNumberFormat="1" applyFont="1" applyBorder="1" applyAlignment="1">
      <alignment horizontal="right"/>
    </xf>
    <xf numFmtId="3" fontId="41" fillId="0" borderId="0" xfId="0" applyNumberFormat="1" applyFont="1"/>
    <xf numFmtId="3" fontId="43" fillId="0" borderId="2" xfId="0" applyNumberFormat="1" applyFont="1" applyBorder="1"/>
    <xf numFmtId="3" fontId="41" fillId="0" borderId="2" xfId="0" applyNumberFormat="1" applyFont="1" applyBorder="1"/>
    <xf numFmtId="3" fontId="40" fillId="0" borderId="2" xfId="0" applyNumberFormat="1" applyFont="1" applyBorder="1"/>
    <xf numFmtId="3" fontId="44" fillId="0" borderId="2" xfId="0" applyNumberFormat="1" applyFont="1" applyBorder="1"/>
    <xf numFmtId="3" fontId="43" fillId="0" borderId="3" xfId="0" applyNumberFormat="1" applyFont="1" applyBorder="1"/>
    <xf numFmtId="3" fontId="43" fillId="0" borderId="25" xfId="0" applyNumberFormat="1" applyFont="1" applyBorder="1"/>
    <xf numFmtId="3" fontId="45" fillId="0" borderId="31" xfId="0" applyNumberFormat="1" applyFont="1" applyBorder="1"/>
    <xf numFmtId="3" fontId="42" fillId="0" borderId="5" xfId="0" applyNumberFormat="1" applyFont="1" applyBorder="1" applyAlignment="1">
      <alignment horizontal="center"/>
    </xf>
    <xf numFmtId="3" fontId="45" fillId="0" borderId="5" xfId="0" applyNumberFormat="1" applyFont="1" applyBorder="1"/>
    <xf numFmtId="3" fontId="32" fillId="0" borderId="4" xfId="0" applyNumberFormat="1" applyFont="1" applyBorder="1" applyAlignment="1">
      <alignment horizontal="center"/>
    </xf>
    <xf numFmtId="3" fontId="48" fillId="0" borderId="1" xfId="0" applyNumberFormat="1" applyFont="1" applyBorder="1" applyAlignment="1">
      <alignment horizontal="center"/>
    </xf>
    <xf numFmtId="3" fontId="48" fillId="0" borderId="1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32" fillId="0" borderId="2" xfId="0" applyNumberFormat="1" applyFont="1" applyBorder="1" applyAlignment="1">
      <alignment horizontal="center"/>
    </xf>
    <xf numFmtId="3" fontId="32" fillId="0" borderId="2" xfId="0" applyNumberFormat="1" applyFont="1" applyBorder="1"/>
    <xf numFmtId="3" fontId="33" fillId="0" borderId="7" xfId="0" applyNumberFormat="1" applyFont="1" applyBorder="1"/>
    <xf numFmtId="3" fontId="33" fillId="0" borderId="2" xfId="0" applyNumberFormat="1" applyFont="1" applyBorder="1" applyAlignment="1">
      <alignment horizontal="center"/>
    </xf>
    <xf numFmtId="3" fontId="33" fillId="0" borderId="2" xfId="0" applyNumberFormat="1" applyFont="1" applyBorder="1"/>
    <xf numFmtId="37" fontId="33" fillId="0" borderId="2" xfId="0" applyNumberFormat="1" applyFont="1" applyBorder="1"/>
    <xf numFmtId="3" fontId="46" fillId="0" borderId="7" xfId="0" applyNumberFormat="1" applyFont="1" applyBorder="1"/>
    <xf numFmtId="3" fontId="48" fillId="0" borderId="2" xfId="0" applyNumberFormat="1" applyFont="1" applyBorder="1" applyAlignment="1">
      <alignment horizontal="center"/>
    </xf>
    <xf numFmtId="3" fontId="48" fillId="0" borderId="2" xfId="0" applyNumberFormat="1" applyFont="1" applyBorder="1"/>
    <xf numFmtId="3" fontId="32" fillId="0" borderId="7" xfId="0" applyNumberFormat="1" applyFont="1" applyBorder="1" applyAlignment="1">
      <alignment horizontal="center"/>
    </xf>
    <xf numFmtId="3" fontId="33" fillId="0" borderId="7" xfId="0" applyNumberFormat="1" applyFont="1" applyBorder="1" applyAlignment="1">
      <alignment horizontal="center"/>
    </xf>
    <xf numFmtId="3" fontId="13" fillId="0" borderId="7" xfId="0" applyNumberFormat="1" applyFont="1" applyBorder="1"/>
    <xf numFmtId="3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/>
    <xf numFmtId="37" fontId="13" fillId="0" borderId="2" xfId="0" applyNumberFormat="1" applyFont="1" applyBorder="1"/>
    <xf numFmtId="3" fontId="33" fillId="0" borderId="7" xfId="0" quotePrefix="1" applyNumberFormat="1" applyFont="1" applyBorder="1"/>
    <xf numFmtId="3" fontId="49" fillId="0" borderId="2" xfId="0" applyNumberFormat="1" applyFont="1" applyBorder="1" applyAlignment="1">
      <alignment horizontal="center"/>
    </xf>
    <xf numFmtId="3" fontId="49" fillId="0" borderId="2" xfId="0" applyNumberFormat="1" applyFont="1" applyBorder="1"/>
    <xf numFmtId="3" fontId="33" fillId="0" borderId="8" xfId="0" applyNumberFormat="1" applyFont="1" applyBorder="1"/>
    <xf numFmtId="3" fontId="33" fillId="0" borderId="17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3" fontId="49" fillId="0" borderId="17" xfId="0" applyNumberFormat="1" applyFont="1" applyBorder="1"/>
    <xf numFmtId="3" fontId="48" fillId="0" borderId="4" xfId="0" applyNumberFormat="1" applyFont="1" applyBorder="1" applyAlignment="1">
      <alignment horizontal="center"/>
    </xf>
    <xf numFmtId="3" fontId="50" fillId="0" borderId="5" xfId="0" applyNumberFormat="1" applyFont="1" applyBorder="1" applyAlignment="1">
      <alignment horizontal="center"/>
    </xf>
    <xf numFmtId="3" fontId="48" fillId="0" borderId="5" xfId="0" applyNumberFormat="1" applyFont="1" applyBorder="1"/>
    <xf numFmtId="3" fontId="48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3" fontId="48" fillId="0" borderId="0" xfId="0" applyNumberFormat="1" applyFont="1" applyBorder="1"/>
    <xf numFmtId="3" fontId="48" fillId="0" borderId="23" xfId="0" applyNumberFormat="1" applyFont="1" applyBorder="1" applyAlignment="1">
      <alignment horizontal="left"/>
    </xf>
    <xf numFmtId="3" fontId="32" fillId="0" borderId="1" xfId="0" applyNumberFormat="1" applyFont="1" applyBorder="1" applyAlignment="1">
      <alignment horizontal="center"/>
    </xf>
    <xf numFmtId="3" fontId="48" fillId="0" borderId="7" xfId="0" applyNumberFormat="1" applyFont="1" applyBorder="1" applyAlignment="1">
      <alignment horizontal="left"/>
    </xf>
    <xf numFmtId="3" fontId="48" fillId="0" borderId="5" xfId="0" applyNumberFormat="1" applyFont="1" applyBorder="1" applyAlignment="1">
      <alignment horizontal="center"/>
    </xf>
    <xf numFmtId="3" fontId="13" fillId="0" borderId="0" xfId="0" applyNumberFormat="1" applyFont="1"/>
    <xf numFmtId="3" fontId="33" fillId="0" borderId="0" xfId="0" applyNumberFormat="1" applyFont="1" applyAlignment="1">
      <alignment horizontal="center"/>
    </xf>
    <xf numFmtId="3" fontId="13" fillId="0" borderId="32" xfId="0" applyNumberFormat="1" applyFont="1" applyBorder="1" applyAlignment="1"/>
    <xf numFmtId="3" fontId="11" fillId="0" borderId="0" xfId="0" applyNumberFormat="1" applyFont="1"/>
    <xf numFmtId="3" fontId="12" fillId="0" borderId="0" xfId="0" applyNumberFormat="1" applyFont="1" applyAlignment="1">
      <alignment horizontal="center"/>
    </xf>
    <xf numFmtId="3" fontId="32" fillId="0" borderId="0" xfId="0" applyNumberFormat="1" applyFont="1"/>
    <xf numFmtId="3" fontId="47" fillId="0" borderId="23" xfId="0" applyNumberFormat="1" applyFont="1" applyBorder="1" applyAlignment="1">
      <alignment horizontal="left"/>
    </xf>
    <xf numFmtId="164" fontId="51" fillId="0" borderId="9" xfId="0" applyNumberFormat="1" applyFont="1" applyBorder="1"/>
    <xf numFmtId="3" fontId="52" fillId="0" borderId="12" xfId="0" applyNumberFormat="1" applyFont="1" applyBorder="1"/>
    <xf numFmtId="3" fontId="52" fillId="0" borderId="0" xfId="0" applyNumberFormat="1" applyFont="1" applyBorder="1"/>
    <xf numFmtId="3" fontId="52" fillId="0" borderId="0" xfId="0" applyNumberFormat="1" applyFont="1"/>
    <xf numFmtId="3" fontId="52" fillId="0" borderId="15" xfId="0" applyNumberFormat="1" applyFont="1" applyBorder="1"/>
    <xf numFmtId="165" fontId="39" fillId="0" borderId="0" xfId="0" applyNumberFormat="1" applyFont="1" applyBorder="1"/>
    <xf numFmtId="3" fontId="31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2" fillId="0" borderId="23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29" fillId="0" borderId="0" xfId="0" applyNumberFormat="1" applyFont="1" applyAlignment="1"/>
    <xf numFmtId="3" fontId="6" fillId="0" borderId="0" xfId="0" applyNumberFormat="1" applyFont="1"/>
    <xf numFmtId="3" fontId="53" fillId="0" borderId="0" xfId="0" applyNumberFormat="1" applyFont="1" applyBorder="1"/>
    <xf numFmtId="3" fontId="53" fillId="0" borderId="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/>
    <xf numFmtId="3" fontId="54" fillId="0" borderId="0" xfId="0" applyNumberFormat="1" applyFont="1"/>
    <xf numFmtId="3" fontId="53" fillId="0" borderId="0" xfId="0" applyNumberFormat="1" applyFont="1" applyAlignment="1">
      <alignment horizontal="center"/>
    </xf>
    <xf numFmtId="3" fontId="54" fillId="0" borderId="0" xfId="0" applyNumberFormat="1" applyFont="1" applyBorder="1" applyAlignment="1"/>
    <xf numFmtId="3" fontId="56" fillId="0" borderId="0" xfId="0" applyNumberFormat="1" applyFont="1"/>
    <xf numFmtId="3" fontId="32" fillId="0" borderId="0" xfId="0" applyNumberFormat="1" applyFont="1" applyAlignment="1">
      <alignment horizontal="left"/>
    </xf>
    <xf numFmtId="164" fontId="57" fillId="0" borderId="0" xfId="0" applyNumberFormat="1" applyFont="1"/>
    <xf numFmtId="3" fontId="0" fillId="0" borderId="0" xfId="0" applyNumberFormat="1" applyBorder="1"/>
    <xf numFmtId="164" fontId="58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/>
    </xf>
    <xf numFmtId="164" fontId="60" fillId="0" borderId="7" xfId="1" applyNumberFormat="1" applyFont="1" applyBorder="1"/>
    <xf numFmtId="164" fontId="61" fillId="0" borderId="7" xfId="1" applyNumberFormat="1" applyFont="1" applyBorder="1"/>
    <xf numFmtId="164" fontId="62" fillId="0" borderId="7" xfId="1" applyNumberFormat="1" applyFont="1" applyBorder="1"/>
    <xf numFmtId="164" fontId="63" fillId="0" borderId="8" xfId="1" applyNumberFormat="1" applyFont="1" applyBorder="1"/>
    <xf numFmtId="3" fontId="13" fillId="0" borderId="0" xfId="0" applyNumberFormat="1" applyFont="1" applyBorder="1" applyAlignment="1"/>
    <xf numFmtId="164" fontId="64" fillId="0" borderId="9" xfId="0" applyNumberFormat="1" applyFont="1" applyBorder="1"/>
    <xf numFmtId="37" fontId="8" fillId="0" borderId="7" xfId="0" applyNumberFormat="1" applyFont="1" applyBorder="1"/>
    <xf numFmtId="37" fontId="10" fillId="0" borderId="7" xfId="0" applyNumberFormat="1" applyFont="1" applyBorder="1"/>
    <xf numFmtId="3" fontId="32" fillId="0" borderId="0" xfId="0" applyNumberFormat="1" applyFont="1" applyAlignment="1">
      <alignment horizontal="center"/>
    </xf>
    <xf numFmtId="3" fontId="2" fillId="0" borderId="19" xfId="0" quotePrefix="1" applyNumberFormat="1" applyFont="1" applyBorder="1"/>
    <xf numFmtId="3" fontId="2" fillId="0" borderId="19" xfId="0" applyNumberFormat="1" applyFont="1" applyBorder="1" applyAlignment="1">
      <alignment horizontal="right"/>
    </xf>
    <xf numFmtId="3" fontId="32" fillId="0" borderId="0" xfId="0" applyNumberFormat="1" applyFont="1" applyAlignment="1"/>
    <xf numFmtId="3" fontId="29" fillId="0" borderId="0" xfId="0" applyNumberFormat="1" applyFont="1" applyAlignment="1">
      <alignment horizontal="left"/>
    </xf>
    <xf numFmtId="3" fontId="2" fillId="0" borderId="14" xfId="0" applyNumberFormat="1" applyFont="1" applyBorder="1"/>
    <xf numFmtId="3" fontId="3" fillId="0" borderId="14" xfId="0" applyNumberFormat="1" applyFont="1" applyBorder="1"/>
    <xf numFmtId="3" fontId="65" fillId="0" borderId="23" xfId="1" applyNumberFormat="1" applyFont="1" applyBorder="1" applyAlignment="1">
      <alignment horizontal="center"/>
    </xf>
    <xf numFmtId="164" fontId="59" fillId="0" borderId="7" xfId="1" applyNumberFormat="1" applyFont="1" applyBorder="1" applyAlignment="1"/>
    <xf numFmtId="3" fontId="70" fillId="0" borderId="0" xfId="0" applyNumberFormat="1" applyFont="1" applyAlignment="1"/>
    <xf numFmtId="3" fontId="21" fillId="0" borderId="0" xfId="0" applyNumberFormat="1" applyFont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Fill="1" applyBorder="1"/>
    <xf numFmtId="3" fontId="71" fillId="0" borderId="23" xfId="0" applyNumberFormat="1" applyFont="1" applyBorder="1" applyAlignment="1">
      <alignment horizontal="right"/>
    </xf>
    <xf numFmtId="3" fontId="71" fillId="0" borderId="7" xfId="0" applyNumberFormat="1" applyFont="1" applyBorder="1" applyAlignment="1">
      <alignment horizontal="right"/>
    </xf>
    <xf numFmtId="3" fontId="71" fillId="0" borderId="7" xfId="0" applyNumberFormat="1" applyFont="1" applyBorder="1"/>
    <xf numFmtId="3" fontId="72" fillId="0" borderId="7" xfId="0" applyNumberFormat="1" applyFont="1" applyBorder="1" applyAlignment="1">
      <alignment horizontal="right"/>
    </xf>
    <xf numFmtId="3" fontId="71" fillId="0" borderId="7" xfId="0" applyNumberFormat="1" applyFont="1" applyBorder="1" applyAlignment="1">
      <alignment horizontal="center"/>
    </xf>
    <xf numFmtId="3" fontId="71" fillId="0" borderId="23" xfId="0" applyNumberFormat="1" applyFont="1" applyBorder="1"/>
    <xf numFmtId="3" fontId="71" fillId="0" borderId="23" xfId="0" quotePrefix="1" applyNumberFormat="1" applyFont="1" applyBorder="1" applyAlignment="1">
      <alignment horizontal="center"/>
    </xf>
    <xf numFmtId="3" fontId="71" fillId="0" borderId="23" xfId="0" applyNumberFormat="1" applyFont="1" applyBorder="1" applyAlignment="1">
      <alignment horizontal="center"/>
    </xf>
    <xf numFmtId="3" fontId="71" fillId="0" borderId="7" xfId="0" quotePrefix="1" applyNumberFormat="1" applyFont="1" applyBorder="1" applyAlignment="1">
      <alignment horizontal="center"/>
    </xf>
    <xf numFmtId="3" fontId="72" fillId="0" borderId="7" xfId="0" applyNumberFormat="1" applyFont="1" applyBorder="1"/>
    <xf numFmtId="3" fontId="72" fillId="0" borderId="7" xfId="0" applyNumberFormat="1" applyFont="1" applyBorder="1" applyAlignment="1">
      <alignment horizontal="center"/>
    </xf>
    <xf numFmtId="37" fontId="71" fillId="0" borderId="7" xfId="0" applyNumberFormat="1" applyFont="1" applyBorder="1"/>
    <xf numFmtId="3" fontId="71" fillId="0" borderId="8" xfId="0" applyNumberFormat="1" applyFont="1" applyBorder="1"/>
    <xf numFmtId="3" fontId="71" fillId="0" borderId="8" xfId="0" applyNumberFormat="1" applyFont="1" applyBorder="1" applyAlignment="1">
      <alignment horizontal="center"/>
    </xf>
    <xf numFmtId="3" fontId="2" fillId="0" borderId="9" xfId="0" applyNumberFormat="1" applyFont="1" applyBorder="1"/>
    <xf numFmtId="3" fontId="73" fillId="0" borderId="7" xfId="1" quotePrefix="1" applyNumberFormat="1" applyFont="1" applyBorder="1" applyAlignment="1">
      <alignment horizontal="center"/>
    </xf>
    <xf numFmtId="3" fontId="73" fillId="0" borderId="7" xfId="1" applyNumberFormat="1" applyFont="1" applyBorder="1"/>
    <xf numFmtId="3" fontId="74" fillId="0" borderId="7" xfId="1" applyNumberFormat="1" applyFont="1" applyBorder="1" applyAlignment="1">
      <alignment horizontal="center"/>
    </xf>
    <xf numFmtId="3" fontId="73" fillId="0" borderId="7" xfId="1" applyNumberFormat="1" applyFont="1" applyBorder="1" applyAlignment="1">
      <alignment horizontal="center"/>
    </xf>
    <xf numFmtId="3" fontId="75" fillId="0" borderId="7" xfId="1" applyNumberFormat="1" applyFont="1" applyBorder="1" applyAlignment="1">
      <alignment horizontal="center"/>
    </xf>
    <xf numFmtId="3" fontId="76" fillId="0" borderId="8" xfId="0" applyNumberFormat="1" applyFont="1" applyBorder="1" applyAlignment="1">
      <alignment horizontal="center"/>
    </xf>
    <xf numFmtId="3" fontId="77" fillId="0" borderId="7" xfId="1" quotePrefix="1" applyNumberFormat="1" applyFont="1" applyBorder="1" applyAlignment="1">
      <alignment horizontal="center"/>
    </xf>
    <xf numFmtId="3" fontId="77" fillId="0" borderId="7" xfId="1" applyNumberFormat="1" applyFont="1" applyBorder="1"/>
    <xf numFmtId="3" fontId="78" fillId="0" borderId="7" xfId="1" applyNumberFormat="1" applyFont="1" applyBorder="1" applyAlignment="1">
      <alignment horizontal="center"/>
    </xf>
    <xf numFmtId="3" fontId="77" fillId="0" borderId="7" xfId="1" applyNumberFormat="1" applyFont="1" applyBorder="1" applyAlignment="1">
      <alignment horizontal="center"/>
    </xf>
    <xf numFmtId="3" fontId="79" fillId="0" borderId="7" xfId="1" applyNumberFormat="1" applyFont="1" applyBorder="1" applyAlignment="1">
      <alignment horizontal="center"/>
    </xf>
    <xf numFmtId="3" fontId="79" fillId="0" borderId="18" xfId="1" applyNumberFormat="1" applyFont="1" applyBorder="1" applyAlignment="1">
      <alignment horizontal="center"/>
    </xf>
    <xf numFmtId="3" fontId="80" fillId="0" borderId="8" xfId="0" applyNumberFormat="1" applyFont="1" applyBorder="1" applyAlignment="1">
      <alignment horizontal="center"/>
    </xf>
    <xf numFmtId="3" fontId="2" fillId="0" borderId="27" xfId="0" applyNumberFormat="1" applyFont="1" applyBorder="1"/>
    <xf numFmtId="0" fontId="86" fillId="0" borderId="0" xfId="0" applyFont="1"/>
    <xf numFmtId="37" fontId="3" fillId="0" borderId="0" xfId="0" applyNumberFormat="1" applyFont="1"/>
    <xf numFmtId="3" fontId="87" fillId="0" borderId="0" xfId="0" applyNumberFormat="1" applyFont="1"/>
    <xf numFmtId="3" fontId="42" fillId="0" borderId="0" xfId="0" applyNumberFormat="1" applyFont="1"/>
    <xf numFmtId="3" fontId="8" fillId="0" borderId="19" xfId="0" applyNumberFormat="1" applyFont="1" applyBorder="1"/>
    <xf numFmtId="3" fontId="10" fillId="0" borderId="23" xfId="0" applyNumberFormat="1" applyFont="1" applyBorder="1"/>
    <xf numFmtId="37" fontId="8" fillId="0" borderId="27" xfId="0" applyNumberFormat="1" applyFont="1" applyBorder="1"/>
    <xf numFmtId="37" fontId="10" fillId="0" borderId="27" xfId="0" applyNumberFormat="1" applyFont="1" applyBorder="1"/>
    <xf numFmtId="3" fontId="88" fillId="0" borderId="23" xfId="0" applyNumberFormat="1" applyFont="1" applyBorder="1" applyAlignment="1">
      <alignment horizontal="right"/>
    </xf>
    <xf numFmtId="3" fontId="88" fillId="0" borderId="7" xfId="0" applyNumberFormat="1" applyFont="1" applyBorder="1" applyAlignment="1">
      <alignment horizontal="right"/>
    </xf>
    <xf numFmtId="3" fontId="89" fillId="0" borderId="7" xfId="0" applyNumberFormat="1" applyFont="1" applyBorder="1" applyAlignment="1">
      <alignment horizontal="right"/>
    </xf>
    <xf numFmtId="3" fontId="88" fillId="0" borderId="7" xfId="0" applyNumberFormat="1" applyFont="1" applyBorder="1" applyAlignment="1">
      <alignment horizontal="center"/>
    </xf>
    <xf numFmtId="3" fontId="88" fillId="0" borderId="8" xfId="0" applyNumberFormat="1" applyFont="1" applyBorder="1" applyAlignment="1">
      <alignment horizontal="center"/>
    </xf>
    <xf numFmtId="38" fontId="82" fillId="0" borderId="7" xfId="1" applyNumberFormat="1" applyFont="1" applyBorder="1" applyAlignment="1">
      <alignment horizontal="right"/>
    </xf>
    <xf numFmtId="38" fontId="82" fillId="0" borderId="7" xfId="1" applyNumberFormat="1" applyFont="1" applyBorder="1"/>
    <xf numFmtId="38" fontId="85" fillId="0" borderId="8" xfId="0" applyNumberFormat="1" applyFont="1" applyBorder="1"/>
    <xf numFmtId="38" fontId="77" fillId="0" borderId="7" xfId="1" quotePrefix="1" applyNumberFormat="1" applyFont="1" applyBorder="1" applyAlignment="1">
      <alignment horizontal="right"/>
    </xf>
    <xf numFmtId="38" fontId="77" fillId="0" borderId="7" xfId="1" applyNumberFormat="1" applyFont="1" applyBorder="1" applyAlignment="1">
      <alignment horizontal="right"/>
    </xf>
    <xf numFmtId="38" fontId="79" fillId="0" borderId="7" xfId="1" applyNumberFormat="1" applyFont="1" applyBorder="1" applyAlignment="1">
      <alignment horizontal="right"/>
    </xf>
    <xf numFmtId="38" fontId="79" fillId="0" borderId="18" xfId="1" applyNumberFormat="1" applyFont="1" applyBorder="1" applyAlignment="1">
      <alignment horizontal="right"/>
    </xf>
    <xf numFmtId="38" fontId="85" fillId="0" borderId="8" xfId="0" applyNumberFormat="1" applyFont="1" applyBorder="1" applyAlignment="1">
      <alignment horizontal="right"/>
    </xf>
    <xf numFmtId="38" fontId="0" fillId="0" borderId="0" xfId="0" applyNumberFormat="1"/>
    <xf numFmtId="38" fontId="0" fillId="0" borderId="0" xfId="0" applyNumberFormat="1" applyBorder="1"/>
    <xf numFmtId="38" fontId="65" fillId="0" borderId="23" xfId="1" applyNumberFormat="1" applyFont="1" applyBorder="1" applyAlignment="1">
      <alignment horizontal="center"/>
    </xf>
    <xf numFmtId="38" fontId="81" fillId="0" borderId="7" xfId="1" quotePrefix="1" applyNumberFormat="1" applyFont="1" applyBorder="1" applyAlignment="1">
      <alignment horizontal="right"/>
    </xf>
    <xf numFmtId="38" fontId="81" fillId="0" borderId="7" xfId="1" applyNumberFormat="1" applyFont="1" applyBorder="1"/>
    <xf numFmtId="38" fontId="81" fillId="0" borderId="7" xfId="1" applyNumberFormat="1" applyFont="1" applyBorder="1" applyAlignment="1">
      <alignment horizontal="right"/>
    </xf>
    <xf numFmtId="38" fontId="81" fillId="0" borderId="7" xfId="1" applyNumberFormat="1" applyFont="1" applyBorder="1" applyAlignment="1"/>
    <xf numFmtId="38" fontId="81" fillId="0" borderId="7" xfId="1" applyNumberFormat="1" applyFont="1" applyBorder="1" applyAlignment="1">
      <alignment horizontal="center"/>
    </xf>
    <xf numFmtId="38" fontId="83" fillId="0" borderId="7" xfId="1" applyNumberFormat="1" applyFont="1" applyBorder="1" applyAlignment="1">
      <alignment horizontal="right"/>
    </xf>
    <xf numFmtId="38" fontId="83" fillId="0" borderId="7" xfId="1" applyNumberFormat="1" applyFont="1" applyBorder="1"/>
    <xf numFmtId="38" fontId="83" fillId="0" borderId="18" xfId="1" applyNumberFormat="1" applyFont="1" applyBorder="1" applyAlignment="1">
      <alignment horizontal="right"/>
    </xf>
    <xf numFmtId="38" fontId="84" fillId="0" borderId="12" xfId="0" applyNumberFormat="1" applyFont="1" applyBorder="1"/>
    <xf numFmtId="38" fontId="84" fillId="0" borderId="12" xfId="0" applyNumberFormat="1" applyFont="1" applyBorder="1" applyAlignment="1">
      <alignment horizontal="right"/>
    </xf>
    <xf numFmtId="38" fontId="2" fillId="0" borderId="0" xfId="0" applyNumberFormat="1" applyFont="1"/>
    <xf numFmtId="38" fontId="54" fillId="0" borderId="0" xfId="0" applyNumberFormat="1" applyFont="1" applyBorder="1" applyAlignment="1"/>
    <xf numFmtId="38" fontId="8" fillId="0" borderId="0" xfId="0" applyNumberFormat="1" applyFont="1" applyBorder="1" applyAlignment="1"/>
    <xf numFmtId="38" fontId="13" fillId="0" borderId="0" xfId="0" applyNumberFormat="1" applyFont="1" applyBorder="1" applyAlignment="1"/>
    <xf numFmtId="38" fontId="29" fillId="0" borderId="0" xfId="0" applyNumberFormat="1" applyFont="1" applyAlignment="1"/>
    <xf numFmtId="38" fontId="12" fillId="0" borderId="0" xfId="0" applyNumberFormat="1" applyFont="1" applyAlignment="1">
      <alignment horizontal="center"/>
    </xf>
    <xf numFmtId="38" fontId="33" fillId="0" borderId="0" xfId="0" applyNumberFormat="1" applyFont="1" applyAlignment="1">
      <alignment horizontal="center"/>
    </xf>
    <xf numFmtId="38" fontId="32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38" fontId="2" fillId="0" borderId="2" xfId="0" applyNumberFormat="1" applyFont="1" applyBorder="1"/>
    <xf numFmtId="3" fontId="77" fillId="0" borderId="7" xfId="1" applyNumberFormat="1" applyFont="1" applyBorder="1" applyAlignment="1">
      <alignment horizontal="right"/>
    </xf>
    <xf numFmtId="3" fontId="94" fillId="0" borderId="0" xfId="0" applyNumberFormat="1" applyFont="1"/>
    <xf numFmtId="3" fontId="77" fillId="0" borderId="7" xfId="1" applyNumberFormat="1" applyFont="1" applyBorder="1" applyAlignment="1"/>
    <xf numFmtId="3" fontId="77" fillId="0" borderId="7" xfId="1" quotePrefix="1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95" fillId="0" borderId="7" xfId="1" quotePrefix="1" applyNumberFormat="1" applyFont="1" applyBorder="1" applyAlignment="1">
      <alignment horizontal="right"/>
    </xf>
    <xf numFmtId="37" fontId="95" fillId="0" borderId="7" xfId="1" quotePrefix="1" applyNumberFormat="1" applyFont="1" applyBorder="1" applyAlignment="1">
      <alignment horizontal="right"/>
    </xf>
    <xf numFmtId="37" fontId="95" fillId="0" borderId="7" xfId="1" applyNumberFormat="1" applyFont="1" applyBorder="1" applyAlignment="1">
      <alignment horizontal="right"/>
    </xf>
    <xf numFmtId="37" fontId="100" fillId="0" borderId="7" xfId="1" quotePrefix="1" applyNumberFormat="1" applyFont="1" applyBorder="1" applyAlignment="1">
      <alignment horizontal="right"/>
    </xf>
    <xf numFmtId="3" fontId="24" fillId="0" borderId="0" xfId="0" applyNumberFormat="1" applyFont="1" applyAlignment="1">
      <alignment horizontal="right" vertical="center"/>
    </xf>
    <xf numFmtId="3" fontId="24" fillId="0" borderId="9" xfId="0" applyNumberFormat="1" applyFont="1" applyBorder="1" applyAlignment="1">
      <alignment horizontal="right"/>
    </xf>
    <xf numFmtId="3" fontId="55" fillId="0" borderId="6" xfId="0" applyNumberFormat="1" applyFont="1" applyBorder="1" applyAlignment="1">
      <alignment horizontal="center"/>
    </xf>
    <xf numFmtId="37" fontId="82" fillId="0" borderId="7" xfId="1" applyNumberFormat="1" applyFont="1" applyBorder="1" applyAlignment="1">
      <alignment horizontal="right"/>
    </xf>
    <xf numFmtId="37" fontId="82" fillId="0" borderId="7" xfId="1" applyNumberFormat="1" applyFont="1" applyBorder="1"/>
    <xf numFmtId="37" fontId="96" fillId="0" borderId="7" xfId="1" applyNumberFormat="1" applyFont="1" applyBorder="1"/>
    <xf numFmtId="37" fontId="90" fillId="0" borderId="7" xfId="1" applyNumberFormat="1" applyFont="1" applyBorder="1"/>
    <xf numFmtId="37" fontId="97" fillId="0" borderId="7" xfId="1" applyNumberFormat="1" applyFont="1" applyBorder="1" applyAlignment="1">
      <alignment horizontal="right"/>
    </xf>
    <xf numFmtId="38" fontId="98" fillId="0" borderId="8" xfId="0" applyNumberFormat="1" applyFont="1" applyBorder="1" applyAlignment="1">
      <alignment horizontal="right"/>
    </xf>
    <xf numFmtId="37" fontId="99" fillId="0" borderId="18" xfId="1" applyNumberFormat="1" applyFont="1" applyBorder="1" applyAlignment="1">
      <alignment horizontal="right"/>
    </xf>
    <xf numFmtId="3" fontId="2" fillId="0" borderId="32" xfId="0" applyNumberFormat="1" applyFont="1" applyBorder="1"/>
    <xf numFmtId="3" fontId="22" fillId="0" borderId="0" xfId="0" applyNumberFormat="1" applyFont="1" applyAlignment="1">
      <alignment horizontal="right"/>
    </xf>
    <xf numFmtId="38" fontId="103" fillId="0" borderId="7" xfId="1" applyNumberFormat="1" applyFont="1" applyBorder="1" applyAlignment="1">
      <alignment horizontal="right"/>
    </xf>
    <xf numFmtId="37" fontId="104" fillId="0" borderId="7" xfId="1" quotePrefix="1" applyNumberFormat="1" applyFont="1" applyBorder="1" applyAlignment="1">
      <alignment horizontal="right"/>
    </xf>
    <xf numFmtId="38" fontId="103" fillId="0" borderId="7" xfId="1" quotePrefix="1" applyNumberFormat="1" applyFont="1" applyBorder="1" applyAlignment="1">
      <alignment horizontal="right"/>
    </xf>
    <xf numFmtId="3" fontId="8" fillId="0" borderId="15" xfId="0" applyNumberFormat="1" applyFont="1" applyBorder="1"/>
    <xf numFmtId="38" fontId="106" fillId="0" borderId="32" xfId="0" applyNumberFormat="1" applyFont="1" applyBorder="1" applyAlignment="1">
      <alignment horizontal="right"/>
    </xf>
    <xf numFmtId="38" fontId="73" fillId="0" borderId="23" xfId="1" applyNumberFormat="1" applyFont="1" applyBorder="1" applyAlignment="1">
      <alignment horizontal="right"/>
    </xf>
    <xf numFmtId="38" fontId="94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107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3" fontId="20" fillId="0" borderId="0" xfId="0" applyNumberFormat="1" applyFont="1"/>
    <xf numFmtId="3" fontId="2" fillId="0" borderId="2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0" fillId="0" borderId="0" xfId="0" applyAlignment="1"/>
    <xf numFmtId="38" fontId="71" fillId="0" borderId="7" xfId="0" applyNumberFormat="1" applyFont="1" applyBorder="1"/>
    <xf numFmtId="3" fontId="108" fillId="0" borderId="7" xfId="0" applyNumberFormat="1" applyFont="1" applyBorder="1"/>
    <xf numFmtId="38" fontId="0" fillId="0" borderId="9" xfId="0" applyNumberFormat="1" applyBorder="1"/>
    <xf numFmtId="3" fontId="24" fillId="0" borderId="0" xfId="0" applyNumberFormat="1" applyFont="1" applyAlignment="1">
      <alignment horizontal="right"/>
    </xf>
    <xf numFmtId="38" fontId="84" fillId="0" borderId="18" xfId="1" applyNumberFormat="1" applyFont="1" applyBorder="1" applyAlignment="1">
      <alignment horizontal="right"/>
    </xf>
    <xf numFmtId="38" fontId="109" fillId="0" borderId="23" xfId="1" applyNumberFormat="1" applyFont="1" applyBorder="1" applyAlignment="1">
      <alignment horizontal="right"/>
    </xf>
    <xf numFmtId="38" fontId="109" fillId="0" borderId="23" xfId="1" applyNumberFormat="1" applyFont="1" applyBorder="1" applyAlignment="1">
      <alignment horizontal="center"/>
    </xf>
    <xf numFmtId="38" fontId="75" fillId="0" borderId="23" xfId="1" applyNumberFormat="1" applyFont="1" applyBorder="1" applyAlignment="1">
      <alignment horizontal="right"/>
    </xf>
    <xf numFmtId="38" fontId="81" fillId="0" borderId="7" xfId="1" quotePrefix="1" applyNumberFormat="1" applyFont="1" applyBorder="1" applyAlignment="1"/>
    <xf numFmtId="38" fontId="84" fillId="0" borderId="7" xfId="0" applyNumberFormat="1" applyFont="1" applyBorder="1" applyAlignment="1">
      <alignment horizontal="right"/>
    </xf>
    <xf numFmtId="164" fontId="110" fillId="0" borderId="21" xfId="0" applyNumberFormat="1" applyFont="1" applyBorder="1" applyAlignment="1">
      <alignment horizontal="center" vertical="center"/>
    </xf>
    <xf numFmtId="164" fontId="110" fillId="0" borderId="6" xfId="0" applyNumberFormat="1" applyFont="1" applyBorder="1" applyAlignment="1">
      <alignment horizontal="center" vertical="center"/>
    </xf>
    <xf numFmtId="38" fontId="112" fillId="0" borderId="26" xfId="0" applyNumberFormat="1" applyFont="1" applyBorder="1" applyAlignment="1">
      <alignment horizontal="center" vertical="center"/>
    </xf>
    <xf numFmtId="38" fontId="112" fillId="0" borderId="4" xfId="0" applyNumberFormat="1" applyFont="1" applyBorder="1" applyAlignment="1">
      <alignment horizontal="center" vertical="center"/>
    </xf>
    <xf numFmtId="3" fontId="113" fillId="0" borderId="6" xfId="0" applyNumberFormat="1" applyFont="1" applyBorder="1" applyAlignment="1">
      <alignment horizontal="center" vertical="center" wrapText="1"/>
    </xf>
    <xf numFmtId="38" fontId="113" fillId="0" borderId="6" xfId="0" applyNumberFormat="1" applyFont="1" applyBorder="1" applyAlignment="1">
      <alignment horizontal="center" vertical="center" wrapText="1"/>
    </xf>
    <xf numFmtId="38" fontId="113" fillId="0" borderId="4" xfId="0" applyNumberFormat="1" applyFont="1" applyBorder="1" applyAlignment="1">
      <alignment horizontal="center" vertical="center"/>
    </xf>
    <xf numFmtId="164" fontId="114" fillId="0" borderId="9" xfId="0" applyNumberFormat="1" applyFont="1" applyBorder="1"/>
    <xf numFmtId="3" fontId="22" fillId="0" borderId="0" xfId="0" applyNumberFormat="1" applyFont="1" applyBorder="1" applyAlignment="1"/>
    <xf numFmtId="3" fontId="24" fillId="0" borderId="0" xfId="0" applyNumberFormat="1" applyFont="1" applyBorder="1" applyAlignment="1"/>
    <xf numFmtId="3" fontId="2" fillId="3" borderId="0" xfId="0" applyNumberFormat="1" applyFont="1" applyFill="1"/>
    <xf numFmtId="3" fontId="3" fillId="3" borderId="0" xfId="0" applyNumberFormat="1" applyFont="1" applyFill="1"/>
    <xf numFmtId="3" fontId="8" fillId="0" borderId="33" xfId="0" applyNumberFormat="1" applyFont="1" applyBorder="1" applyAlignment="1">
      <alignment wrapText="1"/>
    </xf>
    <xf numFmtId="3" fontId="2" fillId="0" borderId="34" xfId="0" applyNumberFormat="1" applyFont="1" applyBorder="1"/>
    <xf numFmtId="37" fontId="2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8" fillId="0" borderId="7" xfId="0" quotePrefix="1" applyNumberFormat="1" applyFont="1" applyBorder="1" applyAlignment="1">
      <alignment wrapText="1"/>
    </xf>
    <xf numFmtId="3" fontId="70" fillId="0" borderId="0" xfId="0" applyNumberFormat="1" applyFont="1" applyAlignment="1">
      <alignment horizontal="center"/>
    </xf>
    <xf numFmtId="166" fontId="54" fillId="0" borderId="0" xfId="0" applyNumberFormat="1" applyFont="1" applyBorder="1" applyAlignment="1"/>
    <xf numFmtId="3" fontId="54" fillId="0" borderId="0" xfId="0" applyNumberFormat="1" applyFont="1" applyAlignment="1">
      <alignment horizontal="center"/>
    </xf>
    <xf numFmtId="37" fontId="2" fillId="0" borderId="25" xfId="0" applyNumberFormat="1" applyFont="1" applyBorder="1"/>
    <xf numFmtId="3" fontId="2" fillId="0" borderId="8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left"/>
    </xf>
    <xf numFmtId="0" fontId="115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0" fontId="15" fillId="0" borderId="9" xfId="0" applyFont="1" applyBorder="1" applyAlignment="1">
      <alignment vertical="top" wrapText="1"/>
    </xf>
    <xf numFmtId="3" fontId="116" fillId="0" borderId="5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19" fillId="0" borderId="2" xfId="0" applyNumberFormat="1" applyFont="1" applyBorder="1"/>
    <xf numFmtId="3" fontId="19" fillId="0" borderId="8" xfId="0" applyNumberFormat="1" applyFont="1" applyBorder="1" applyAlignment="1">
      <alignment horizontal="center"/>
    </xf>
    <xf numFmtId="3" fontId="19" fillId="0" borderId="17" xfId="0" applyNumberFormat="1" applyFont="1" applyBorder="1"/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/>
    <xf numFmtId="3" fontId="117" fillId="0" borderId="0" xfId="0" applyNumberFormat="1" applyFont="1"/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107" fillId="0" borderId="0" xfId="0" applyNumberFormat="1" applyFont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 wrapText="1"/>
    </xf>
    <xf numFmtId="3" fontId="55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right"/>
    </xf>
    <xf numFmtId="3" fontId="5" fillId="0" borderId="3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32" fillId="0" borderId="21" xfId="0" applyNumberFormat="1" applyFont="1" applyBorder="1" applyAlignment="1">
      <alignment horizontal="center" vertical="center" wrapText="1"/>
    </xf>
    <xf numFmtId="3" fontId="32" fillId="0" borderId="6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4" fillId="0" borderId="4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8" fillId="3" borderId="0" xfId="0" applyNumberFormat="1" applyFont="1" applyFill="1" applyBorder="1" applyAlignment="1">
      <alignment horizontal="left" wrapText="1"/>
    </xf>
    <xf numFmtId="3" fontId="16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164" fontId="35" fillId="0" borderId="9" xfId="0" applyNumberFormat="1" applyFont="1" applyBorder="1" applyAlignment="1">
      <alignment horizontal="left"/>
    </xf>
    <xf numFmtId="3" fontId="17" fillId="0" borderId="32" xfId="0" applyNumberFormat="1" applyFont="1" applyBorder="1" applyAlignment="1">
      <alignment horizontal="center"/>
    </xf>
    <xf numFmtId="3" fontId="36" fillId="0" borderId="21" xfId="0" applyNumberFormat="1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8" fontId="90" fillId="0" borderId="0" xfId="0" applyNumberFormat="1" applyFont="1" applyAlignment="1">
      <alignment horizontal="right"/>
    </xf>
    <xf numFmtId="38" fontId="24" fillId="0" borderId="0" xfId="0" applyNumberFormat="1" applyFont="1" applyAlignment="1">
      <alignment horizontal="right"/>
    </xf>
    <xf numFmtId="38" fontId="24" fillId="0" borderId="0" xfId="0" applyNumberFormat="1" applyFont="1" applyBorder="1" applyAlignment="1">
      <alignment horizontal="right"/>
    </xf>
    <xf numFmtId="164" fontId="66" fillId="2" borderId="0" xfId="0" applyNumberFormat="1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left"/>
    </xf>
    <xf numFmtId="38" fontId="112" fillId="0" borderId="13" xfId="0" applyNumberFormat="1" applyFont="1" applyBorder="1" applyAlignment="1">
      <alignment horizontal="center" vertical="center"/>
    </xf>
    <xf numFmtId="38" fontId="112" fillId="0" borderId="5" xfId="0" applyNumberFormat="1" applyFont="1" applyBorder="1" applyAlignment="1">
      <alignment horizontal="center" vertical="center"/>
    </xf>
    <xf numFmtId="164" fontId="58" fillId="2" borderId="0" xfId="0" applyNumberFormat="1" applyFont="1" applyFill="1" applyBorder="1" applyAlignment="1">
      <alignment horizontal="center" vertical="center"/>
    </xf>
    <xf numFmtId="164" fontId="91" fillId="0" borderId="0" xfId="0" applyNumberFormat="1" applyFont="1" applyBorder="1" applyAlignment="1">
      <alignment horizontal="center"/>
    </xf>
    <xf numFmtId="38" fontId="93" fillId="0" borderId="9" xfId="0" applyNumberFormat="1" applyFont="1" applyBorder="1" applyAlignment="1">
      <alignment horizontal="right"/>
    </xf>
    <xf numFmtId="3" fontId="111" fillId="0" borderId="21" xfId="0" applyNumberFormat="1" applyFont="1" applyBorder="1" applyAlignment="1">
      <alignment horizontal="center" wrapText="1"/>
    </xf>
    <xf numFmtId="0" fontId="113" fillId="0" borderId="6" xfId="0" applyFont="1" applyBorder="1" applyAlignment="1">
      <alignment horizontal="center"/>
    </xf>
    <xf numFmtId="0" fontId="7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center"/>
    </xf>
    <xf numFmtId="3" fontId="70" fillId="0" borderId="9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590550</xdr:colOff>
      <xdr:row>3</xdr:row>
      <xdr:rowOff>161925</xdr:rowOff>
    </xdr:to>
    <xdr:pic>
      <xdr:nvPicPr>
        <xdr:cNvPr id="12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57150"/>
          <a:ext cx="590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0</xdr:col>
      <xdr:colOff>581025</xdr:colOff>
      <xdr:row>3</xdr:row>
      <xdr:rowOff>0</xdr:rowOff>
    </xdr:to>
    <xdr:pic>
      <xdr:nvPicPr>
        <xdr:cNvPr id="22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47625" y="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590550</xdr:colOff>
      <xdr:row>3</xdr:row>
      <xdr:rowOff>0</xdr:rowOff>
    </xdr:to>
    <xdr:pic>
      <xdr:nvPicPr>
        <xdr:cNvPr id="32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38100"/>
          <a:ext cx="590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504825</xdr:colOff>
      <xdr:row>3</xdr:row>
      <xdr:rowOff>0</xdr:rowOff>
    </xdr:to>
    <xdr:pic>
      <xdr:nvPicPr>
        <xdr:cNvPr id="4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381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571500</xdr:colOff>
      <xdr:row>3</xdr:row>
      <xdr:rowOff>0</xdr:rowOff>
    </xdr:to>
    <xdr:pic>
      <xdr:nvPicPr>
        <xdr:cNvPr id="6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76200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590550</xdr:colOff>
      <xdr:row>3</xdr:row>
      <xdr:rowOff>0</xdr:rowOff>
    </xdr:to>
    <xdr:pic>
      <xdr:nvPicPr>
        <xdr:cNvPr id="61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9525"/>
          <a:ext cx="590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590550</xdr:colOff>
      <xdr:row>3</xdr:row>
      <xdr:rowOff>0</xdr:rowOff>
    </xdr:to>
    <xdr:pic>
      <xdr:nvPicPr>
        <xdr:cNvPr id="61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9525"/>
          <a:ext cx="590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61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9525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82" zoomScaleNormal="82" workbookViewId="0">
      <selection activeCell="K39" sqref="A1:K39"/>
    </sheetView>
  </sheetViews>
  <sheetFormatPr defaultRowHeight="15"/>
  <cols>
    <col min="1" max="1" width="37" style="2" customWidth="1"/>
    <col min="2" max="2" width="6.28515625" style="1" customWidth="1"/>
    <col min="3" max="3" width="8" style="1" customWidth="1"/>
    <col min="4" max="4" width="18" style="141" hidden="1" customWidth="1"/>
    <col min="5" max="5" width="0.85546875" style="141" hidden="1" customWidth="1"/>
    <col min="6" max="7" width="17.42578125" style="2" customWidth="1"/>
    <col min="8" max="9" width="20.140625" style="2" hidden="1" customWidth="1"/>
    <col min="10" max="10" width="16.85546875" style="2" customWidth="1"/>
    <col min="11" max="11" width="17.42578125" style="2" customWidth="1"/>
    <col min="12" max="12" width="9.140625" style="2"/>
    <col min="13" max="13" width="15.85546875" style="2" bestFit="1" customWidth="1"/>
    <col min="14" max="16384" width="9.140625" style="2"/>
  </cols>
  <sheetData>
    <row r="1" spans="1:11">
      <c r="A1" s="2" t="s">
        <v>642</v>
      </c>
    </row>
    <row r="2" spans="1:11" customFormat="1" ht="17.25">
      <c r="A2" s="132" t="s">
        <v>429</v>
      </c>
      <c r="B2" s="37"/>
      <c r="C2" s="37"/>
      <c r="D2" s="139"/>
      <c r="E2" s="139"/>
      <c r="F2" s="2"/>
      <c r="G2" s="2"/>
      <c r="H2" s="411"/>
      <c r="I2" s="411"/>
      <c r="J2" s="411" t="s">
        <v>515</v>
      </c>
      <c r="K2" s="411"/>
    </row>
    <row r="3" spans="1:11" customFormat="1" ht="15.75">
      <c r="A3" s="138" t="s">
        <v>404</v>
      </c>
      <c r="B3" s="37"/>
      <c r="C3" s="37"/>
      <c r="D3" s="139"/>
      <c r="E3" s="139"/>
      <c r="F3" s="2"/>
      <c r="G3" s="2"/>
      <c r="H3" s="331"/>
      <c r="I3" s="331"/>
      <c r="J3" s="331"/>
      <c r="K3" s="331" t="s">
        <v>597</v>
      </c>
    </row>
    <row r="4" spans="1:11" customFormat="1">
      <c r="A4" s="199" t="s">
        <v>617</v>
      </c>
      <c r="B4" s="38"/>
      <c r="C4" s="38"/>
      <c r="D4" s="140"/>
      <c r="E4" s="140"/>
      <c r="F4" s="263"/>
      <c r="G4" s="263"/>
      <c r="H4" s="332"/>
      <c r="I4" s="332"/>
      <c r="J4" s="332"/>
      <c r="K4" s="332"/>
    </row>
    <row r="5" spans="1:11" ht="40.5" customHeight="1">
      <c r="A5" s="412" t="s">
        <v>57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6" spans="1:11" ht="26.25" customHeight="1">
      <c r="A6" s="413" t="s">
        <v>622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</row>
    <row r="7" spans="1:11" ht="21">
      <c r="A7" s="3"/>
      <c r="G7" s="4"/>
      <c r="H7" s="5"/>
      <c r="I7" s="26" t="s">
        <v>58</v>
      </c>
    </row>
    <row r="8" spans="1:11" s="222" customFormat="1" ht="20.25" customHeight="1">
      <c r="A8" s="406" t="s">
        <v>447</v>
      </c>
      <c r="B8" s="408" t="s">
        <v>633</v>
      </c>
      <c r="C8" s="414" t="s">
        <v>634</v>
      </c>
      <c r="D8" s="409" t="s">
        <v>568</v>
      </c>
      <c r="E8" s="409"/>
      <c r="F8" s="410" t="s">
        <v>632</v>
      </c>
      <c r="G8" s="410"/>
      <c r="H8" s="418" t="s">
        <v>611</v>
      </c>
      <c r="I8" s="418"/>
      <c r="J8" s="410" t="s">
        <v>205</v>
      </c>
      <c r="K8" s="410"/>
    </row>
    <row r="9" spans="1:11" s="214" customFormat="1" ht="21.75" customHeight="1">
      <c r="A9" s="407"/>
      <c r="B9" s="407"/>
      <c r="C9" s="415" t="s">
        <v>59</v>
      </c>
      <c r="D9" s="333" t="s">
        <v>60</v>
      </c>
      <c r="E9" s="333" t="s">
        <v>61</v>
      </c>
      <c r="F9" s="18" t="s">
        <v>612</v>
      </c>
      <c r="G9" s="18" t="s">
        <v>596</v>
      </c>
      <c r="H9" s="18" t="s">
        <v>612</v>
      </c>
      <c r="I9" s="18" t="s">
        <v>596</v>
      </c>
      <c r="J9" s="18" t="s">
        <v>612</v>
      </c>
      <c r="K9" s="18" t="s">
        <v>596</v>
      </c>
    </row>
    <row r="10" spans="1:11" s="214" customFormat="1" ht="25.5" customHeight="1">
      <c r="A10" s="254" t="s">
        <v>62</v>
      </c>
      <c r="B10" s="255" t="s">
        <v>63</v>
      </c>
      <c r="C10" s="256" t="s">
        <v>64</v>
      </c>
      <c r="D10" s="249"/>
      <c r="E10" s="286"/>
      <c r="F10" s="254">
        <v>53844500287</v>
      </c>
      <c r="G10" s="254">
        <v>48222498377</v>
      </c>
      <c r="H10" s="249">
        <v>46854406626</v>
      </c>
      <c r="I10" s="249">
        <v>40898491519</v>
      </c>
      <c r="J10" s="249">
        <f>F10+H10</f>
        <v>100698906913</v>
      </c>
      <c r="K10" s="249">
        <f>G10+I10</f>
        <v>89120989896</v>
      </c>
    </row>
    <row r="11" spans="1:11" s="214" customFormat="1" ht="25.5" customHeight="1">
      <c r="A11" s="251" t="s">
        <v>65</v>
      </c>
      <c r="B11" s="257" t="s">
        <v>66</v>
      </c>
      <c r="C11" s="253" t="s">
        <v>72</v>
      </c>
      <c r="D11" s="250"/>
      <c r="E11" s="287"/>
      <c r="F11" s="251">
        <v>175832354</v>
      </c>
      <c r="G11" s="251">
        <v>18310909</v>
      </c>
      <c r="H11" s="250">
        <v>24825000</v>
      </c>
      <c r="I11" s="250">
        <v>22496000</v>
      </c>
      <c r="J11" s="249">
        <f t="shared" ref="J11:J29" si="0">F11+H11</f>
        <v>200657354</v>
      </c>
      <c r="K11" s="249">
        <f t="shared" ref="K11:K29" si="1">G11+I11</f>
        <v>40806909</v>
      </c>
    </row>
    <row r="12" spans="1:11" s="214" customFormat="1" ht="25.5" customHeight="1">
      <c r="A12" s="251" t="s">
        <v>67</v>
      </c>
      <c r="B12" s="253">
        <v>10</v>
      </c>
      <c r="C12" s="253" t="s">
        <v>69</v>
      </c>
      <c r="D12" s="287">
        <f t="shared" ref="D12:I12" si="2">D10-D11</f>
        <v>0</v>
      </c>
      <c r="E12" s="287">
        <f t="shared" si="2"/>
        <v>0</v>
      </c>
      <c r="F12" s="250">
        <f t="shared" si="2"/>
        <v>53668667933</v>
      </c>
      <c r="G12" s="250">
        <v>48204187468</v>
      </c>
      <c r="H12" s="250">
        <f t="shared" si="2"/>
        <v>46829581626</v>
      </c>
      <c r="I12" s="250">
        <f t="shared" si="2"/>
        <v>40875995519</v>
      </c>
      <c r="J12" s="249">
        <f t="shared" si="0"/>
        <v>100498249559</v>
      </c>
      <c r="K12" s="249">
        <f t="shared" si="1"/>
        <v>89080182987</v>
      </c>
    </row>
    <row r="13" spans="1:11" s="214" customFormat="1" ht="25.5" customHeight="1">
      <c r="A13" s="251" t="s">
        <v>68</v>
      </c>
      <c r="B13" s="253">
        <v>11</v>
      </c>
      <c r="C13" s="253" t="s">
        <v>74</v>
      </c>
      <c r="D13" s="250"/>
      <c r="E13" s="287"/>
      <c r="F13" s="251">
        <v>40073332539</v>
      </c>
      <c r="G13" s="251">
        <v>38302938528</v>
      </c>
      <c r="H13" s="250">
        <v>35818162455</v>
      </c>
      <c r="I13" s="250">
        <v>31592018135</v>
      </c>
      <c r="J13" s="249">
        <f t="shared" si="0"/>
        <v>75891494994</v>
      </c>
      <c r="K13" s="249">
        <f t="shared" si="1"/>
        <v>69894956663</v>
      </c>
    </row>
    <row r="14" spans="1:11" s="214" customFormat="1" ht="25.5" customHeight="1">
      <c r="A14" s="358" t="s">
        <v>70</v>
      </c>
      <c r="B14" s="253">
        <v>20</v>
      </c>
      <c r="C14" s="253"/>
      <c r="D14" s="287">
        <f t="shared" ref="D14:K14" si="3">D12-D13</f>
        <v>0</v>
      </c>
      <c r="E14" s="287">
        <f t="shared" si="3"/>
        <v>0</v>
      </c>
      <c r="F14" s="250">
        <f t="shared" si="3"/>
        <v>13595335394</v>
      </c>
      <c r="G14" s="250">
        <v>9901248940</v>
      </c>
      <c r="H14" s="250">
        <f t="shared" si="3"/>
        <v>11011419171</v>
      </c>
      <c r="I14" s="250">
        <f t="shared" si="3"/>
        <v>9283977384</v>
      </c>
      <c r="J14" s="250">
        <f t="shared" si="3"/>
        <v>24606754565</v>
      </c>
      <c r="K14" s="250">
        <f t="shared" si="3"/>
        <v>19185226324</v>
      </c>
    </row>
    <row r="15" spans="1:11" s="214" customFormat="1" ht="25.5" customHeight="1">
      <c r="A15" s="251" t="s">
        <v>71</v>
      </c>
      <c r="B15" s="253">
        <v>21</v>
      </c>
      <c r="C15" s="253" t="s">
        <v>413</v>
      </c>
      <c r="D15" s="250"/>
      <c r="E15" s="287"/>
      <c r="F15" s="251">
        <v>185555442</v>
      </c>
      <c r="G15" s="251">
        <v>1033312250</v>
      </c>
      <c r="H15" s="250">
        <v>64186506</v>
      </c>
      <c r="I15" s="250">
        <v>54245119</v>
      </c>
      <c r="J15" s="249">
        <f t="shared" si="0"/>
        <v>249741948</v>
      </c>
      <c r="K15" s="249">
        <f t="shared" si="1"/>
        <v>1087557369</v>
      </c>
    </row>
    <row r="16" spans="1:11" s="214" customFormat="1" ht="25.5" customHeight="1">
      <c r="A16" s="251" t="s">
        <v>73</v>
      </c>
      <c r="B16" s="253">
        <v>22</v>
      </c>
      <c r="C16" s="253" t="s">
        <v>414</v>
      </c>
      <c r="D16" s="250"/>
      <c r="E16" s="287"/>
      <c r="F16" s="251">
        <v>895375705</v>
      </c>
      <c r="G16" s="251">
        <v>510571894</v>
      </c>
      <c r="H16" s="250">
        <v>845007784</v>
      </c>
      <c r="I16" s="250">
        <v>103517203</v>
      </c>
      <c r="J16" s="249">
        <f t="shared" si="0"/>
        <v>1740383489</v>
      </c>
      <c r="K16" s="249">
        <f t="shared" si="1"/>
        <v>614089097</v>
      </c>
    </row>
    <row r="17" spans="1:11" s="214" customFormat="1" ht="25.5" customHeight="1">
      <c r="A17" s="258" t="s">
        <v>598</v>
      </c>
      <c r="B17" s="259">
        <v>23</v>
      </c>
      <c r="C17" s="259"/>
      <c r="D17" s="252"/>
      <c r="E17" s="288"/>
      <c r="F17" s="252">
        <v>661065821</v>
      </c>
      <c r="G17" s="258">
        <v>391236894</v>
      </c>
      <c r="H17" s="252">
        <v>730824404</v>
      </c>
      <c r="I17" s="252">
        <v>96852203</v>
      </c>
      <c r="J17" s="249">
        <f t="shared" si="0"/>
        <v>1391890225</v>
      </c>
      <c r="K17" s="249">
        <f t="shared" si="1"/>
        <v>488089097</v>
      </c>
    </row>
    <row r="18" spans="1:11" s="214" customFormat="1" ht="25.5" customHeight="1">
      <c r="A18" s="251" t="s">
        <v>75</v>
      </c>
      <c r="B18" s="253">
        <v>24</v>
      </c>
      <c r="C18" s="253" t="s">
        <v>76</v>
      </c>
      <c r="D18" s="250"/>
      <c r="E18" s="287"/>
      <c r="F18" s="251">
        <v>3838984227</v>
      </c>
      <c r="G18" s="251">
        <v>3286013388</v>
      </c>
      <c r="H18" s="250">
        <v>2995817083</v>
      </c>
      <c r="I18" s="250">
        <v>2999666803</v>
      </c>
      <c r="J18" s="249">
        <f t="shared" si="0"/>
        <v>6834801310</v>
      </c>
      <c r="K18" s="249">
        <f t="shared" si="1"/>
        <v>6285680191</v>
      </c>
    </row>
    <row r="19" spans="1:11" s="214" customFormat="1" ht="25.5" customHeight="1">
      <c r="A19" s="251" t="s">
        <v>77</v>
      </c>
      <c r="B19" s="253">
        <v>25</v>
      </c>
      <c r="C19" s="253" t="s">
        <v>78</v>
      </c>
      <c r="D19" s="250"/>
      <c r="E19" s="287"/>
      <c r="F19" s="251">
        <v>5447375438</v>
      </c>
      <c r="G19" s="251">
        <v>3387578810</v>
      </c>
      <c r="H19" s="250">
        <v>4326389532</v>
      </c>
      <c r="I19" s="250">
        <v>3448376957</v>
      </c>
      <c r="J19" s="249">
        <f t="shared" si="0"/>
        <v>9773764970</v>
      </c>
      <c r="K19" s="249">
        <f t="shared" si="1"/>
        <v>6835955767</v>
      </c>
    </row>
    <row r="20" spans="1:11" s="214" customFormat="1" ht="25.5" customHeight="1">
      <c r="A20" s="251" t="s">
        <v>79</v>
      </c>
      <c r="B20" s="253">
        <v>30</v>
      </c>
      <c r="C20" s="253"/>
      <c r="D20" s="287">
        <f t="shared" ref="D20:I20" si="4">D14+D15-D16-D18-D19</f>
        <v>0</v>
      </c>
      <c r="E20" s="287">
        <f t="shared" si="4"/>
        <v>0</v>
      </c>
      <c r="F20" s="251">
        <f t="shared" si="4"/>
        <v>3599155466</v>
      </c>
      <c r="G20" s="251">
        <v>3750397098</v>
      </c>
      <c r="H20" s="251">
        <f t="shared" si="4"/>
        <v>2908391278</v>
      </c>
      <c r="I20" s="251">
        <f t="shared" si="4"/>
        <v>2786661540</v>
      </c>
      <c r="J20" s="249">
        <f t="shared" si="0"/>
        <v>6507546744</v>
      </c>
      <c r="K20" s="249">
        <f t="shared" si="1"/>
        <v>6537058638</v>
      </c>
    </row>
    <row r="21" spans="1:11" s="214" customFormat="1" ht="25.5" customHeight="1">
      <c r="A21" s="251" t="s">
        <v>80</v>
      </c>
      <c r="B21" s="253">
        <v>31</v>
      </c>
      <c r="C21" s="253"/>
      <c r="D21" s="250"/>
      <c r="E21" s="287"/>
      <c r="F21" s="251">
        <v>3000000</v>
      </c>
      <c r="G21" s="251">
        <v>2000000</v>
      </c>
      <c r="H21" s="251">
        <v>0</v>
      </c>
      <c r="I21" s="251">
        <v>3000000</v>
      </c>
      <c r="J21" s="249">
        <f t="shared" si="0"/>
        <v>3000000</v>
      </c>
      <c r="K21" s="249">
        <f t="shared" si="1"/>
        <v>5000000</v>
      </c>
    </row>
    <row r="22" spans="1:11" s="214" customFormat="1" ht="25.5" customHeight="1">
      <c r="A22" s="251" t="s">
        <v>81</v>
      </c>
      <c r="B22" s="253">
        <v>32</v>
      </c>
      <c r="C22" s="253"/>
      <c r="D22" s="250"/>
      <c r="E22" s="287"/>
      <c r="F22" s="251">
        <v>0</v>
      </c>
      <c r="G22" s="251">
        <v>134400000</v>
      </c>
      <c r="H22" s="251">
        <v>11364000</v>
      </c>
      <c r="I22" s="251"/>
      <c r="J22" s="249">
        <f t="shared" si="0"/>
        <v>11364000</v>
      </c>
      <c r="K22" s="249">
        <f t="shared" si="1"/>
        <v>134400000</v>
      </c>
    </row>
    <row r="23" spans="1:11" s="214" customFormat="1" ht="25.5" customHeight="1">
      <c r="A23" s="251" t="s">
        <v>82</v>
      </c>
      <c r="B23" s="253">
        <v>40</v>
      </c>
      <c r="C23" s="253"/>
      <c r="D23" s="260">
        <f t="shared" ref="D23:I23" si="5">D21-D22</f>
        <v>0</v>
      </c>
      <c r="E23" s="287">
        <f t="shared" si="5"/>
        <v>0</v>
      </c>
      <c r="F23" s="260">
        <f t="shared" si="5"/>
        <v>3000000</v>
      </c>
      <c r="G23" s="357">
        <v>-132400000</v>
      </c>
      <c r="H23" s="357">
        <f t="shared" si="5"/>
        <v>-11364000</v>
      </c>
      <c r="I23" s="251">
        <f t="shared" si="5"/>
        <v>3000000</v>
      </c>
      <c r="J23" s="357">
        <f t="shared" si="0"/>
        <v>-8364000</v>
      </c>
      <c r="K23" s="357">
        <f t="shared" si="1"/>
        <v>-129400000</v>
      </c>
    </row>
    <row r="24" spans="1:11" s="214" customFormat="1" ht="25.5" customHeight="1">
      <c r="A24" s="251" t="s">
        <v>83</v>
      </c>
      <c r="B24" s="253">
        <v>50</v>
      </c>
      <c r="C24" s="253"/>
      <c r="D24" s="287">
        <f t="shared" ref="D24:I24" si="6">D20+D23</f>
        <v>0</v>
      </c>
      <c r="E24" s="287">
        <f t="shared" si="6"/>
        <v>0</v>
      </c>
      <c r="F24" s="251">
        <f t="shared" si="6"/>
        <v>3602155466</v>
      </c>
      <c r="G24" s="251">
        <v>3617997098</v>
      </c>
      <c r="H24" s="251">
        <f t="shared" si="6"/>
        <v>2897027278</v>
      </c>
      <c r="I24" s="251">
        <f t="shared" si="6"/>
        <v>2789661540</v>
      </c>
      <c r="J24" s="249">
        <f t="shared" si="0"/>
        <v>6499182744</v>
      </c>
      <c r="K24" s="249">
        <f t="shared" si="1"/>
        <v>6407658638</v>
      </c>
    </row>
    <row r="25" spans="1:11" s="214" customFormat="1" ht="25.5" customHeight="1">
      <c r="A25" s="251" t="s">
        <v>84</v>
      </c>
      <c r="B25" s="253">
        <v>51</v>
      </c>
      <c r="C25" s="253"/>
      <c r="D25" s="250"/>
      <c r="E25" s="287"/>
      <c r="F25" s="250">
        <f>F24*25%</f>
        <v>900538866.5</v>
      </c>
      <c r="G25" s="251">
        <v>904499275</v>
      </c>
      <c r="H25" s="250">
        <v>724256820</v>
      </c>
      <c r="I25" s="250">
        <f>I24*25%</f>
        <v>697415385</v>
      </c>
      <c r="J25" s="249">
        <f t="shared" si="0"/>
        <v>1624795686.5</v>
      </c>
      <c r="K25" s="249">
        <f t="shared" si="1"/>
        <v>1601914660</v>
      </c>
    </row>
    <row r="26" spans="1:11" s="214" customFormat="1" ht="24.75" customHeight="1">
      <c r="A26" s="251" t="s">
        <v>85</v>
      </c>
      <c r="B26" s="253">
        <v>52</v>
      </c>
      <c r="C26" s="253"/>
      <c r="D26" s="250"/>
      <c r="E26" s="287"/>
      <c r="F26" s="251"/>
      <c r="G26" s="251">
        <v>0</v>
      </c>
      <c r="H26" s="251">
        <v>0</v>
      </c>
      <c r="I26" s="251">
        <v>0</v>
      </c>
      <c r="J26" s="249">
        <f t="shared" si="0"/>
        <v>0</v>
      </c>
      <c r="K26" s="249">
        <f t="shared" si="1"/>
        <v>0</v>
      </c>
    </row>
    <row r="27" spans="1:11" s="214" customFormat="1" ht="25.5" customHeight="1">
      <c r="A27" s="251" t="s">
        <v>86</v>
      </c>
      <c r="B27" s="253">
        <v>60</v>
      </c>
      <c r="C27" s="253"/>
      <c r="D27" s="287">
        <f t="shared" ref="D27:I27" si="7">D24-D25</f>
        <v>0</v>
      </c>
      <c r="E27" s="287">
        <f t="shared" si="7"/>
        <v>0</v>
      </c>
      <c r="F27" s="250">
        <f>F24-F25-0.3</f>
        <v>2701616599.1999998</v>
      </c>
      <c r="G27" s="250">
        <v>2713497823</v>
      </c>
      <c r="H27" s="250">
        <f t="shared" si="7"/>
        <v>2172770458</v>
      </c>
      <c r="I27" s="250">
        <f t="shared" si="7"/>
        <v>2092246155</v>
      </c>
      <c r="J27" s="249">
        <f t="shared" si="0"/>
        <v>4874387057.1999998</v>
      </c>
      <c r="K27" s="249">
        <f t="shared" si="1"/>
        <v>4805743978</v>
      </c>
    </row>
    <row r="28" spans="1:11" s="214" customFormat="1" ht="25.5" customHeight="1">
      <c r="A28" s="251" t="s">
        <v>87</v>
      </c>
      <c r="B28" s="253">
        <v>70</v>
      </c>
      <c r="C28" s="253"/>
      <c r="D28" s="253">
        <f>D27/2758680</f>
        <v>0</v>
      </c>
      <c r="E28" s="289">
        <v>500</v>
      </c>
      <c r="F28" s="253">
        <f>F27/2758680</f>
        <v>979.31496193831822</v>
      </c>
      <c r="G28" s="253">
        <v>983.62181296852123</v>
      </c>
      <c r="H28" s="253">
        <f>H27/2758680</f>
        <v>787.61235735931677</v>
      </c>
      <c r="I28" s="253">
        <f>I27/2758680</f>
        <v>758.42292509461049</v>
      </c>
      <c r="J28" s="253">
        <f>J27/2758680</f>
        <v>1766.927319297635</v>
      </c>
      <c r="K28" s="253">
        <f>K27/2758680</f>
        <v>1742.0447380631317</v>
      </c>
    </row>
    <row r="29" spans="1:11" s="214" customFormat="1" ht="26.25" customHeight="1">
      <c r="A29" s="261" t="s">
        <v>88</v>
      </c>
      <c r="B29" s="262"/>
      <c r="C29" s="262"/>
      <c r="D29" s="262">
        <v>425</v>
      </c>
      <c r="E29" s="290">
        <v>903</v>
      </c>
      <c r="F29" s="262">
        <v>500</v>
      </c>
      <c r="G29" s="262">
        <v>425</v>
      </c>
      <c r="H29" s="262">
        <v>500</v>
      </c>
      <c r="I29" s="262">
        <v>425</v>
      </c>
      <c r="J29" s="262">
        <f t="shared" si="0"/>
        <v>1000</v>
      </c>
      <c r="K29" s="262">
        <f t="shared" si="1"/>
        <v>850</v>
      </c>
    </row>
    <row r="30" spans="1:11" s="218" customFormat="1" ht="12.75" customHeight="1">
      <c r="A30" s="215"/>
      <c r="B30" s="216"/>
      <c r="C30" s="216"/>
      <c r="D30" s="217"/>
      <c r="E30" s="217"/>
      <c r="F30" s="215"/>
      <c r="G30" s="215"/>
      <c r="H30" s="215"/>
      <c r="I30" s="215"/>
    </row>
    <row r="31" spans="1:11" s="218" customFormat="1" ht="29.25" customHeight="1">
      <c r="A31" s="219"/>
      <c r="C31" s="221"/>
      <c r="D31" s="385" t="s">
        <v>650</v>
      </c>
      <c r="E31" s="385"/>
      <c r="F31" s="385"/>
      <c r="G31" s="385"/>
      <c r="H31" s="385"/>
      <c r="I31" s="385"/>
      <c r="J31" s="386" t="s">
        <v>651</v>
      </c>
      <c r="K31" s="385"/>
    </row>
    <row r="32" spans="1:11" s="35" customFormat="1" ht="18.75" customHeight="1">
      <c r="A32" s="384" t="s">
        <v>649</v>
      </c>
      <c r="B32" s="356"/>
      <c r="C32" s="356"/>
      <c r="D32" s="356"/>
      <c r="E32" s="356"/>
      <c r="F32" s="384" t="s">
        <v>648</v>
      </c>
      <c r="G32" s="356"/>
      <c r="H32" s="356"/>
      <c r="I32" s="356"/>
      <c r="J32" s="384" t="s">
        <v>647</v>
      </c>
    </row>
    <row r="33" spans="1:10" s="35" customFormat="1" ht="15" customHeight="1">
      <c r="A33" s="245"/>
      <c r="B33" s="245"/>
      <c r="C33" s="245"/>
      <c r="D33" s="34"/>
      <c r="H33" s="417"/>
      <c r="I33" s="417"/>
    </row>
    <row r="34" spans="1:10" s="35" customFormat="1" ht="12.75" customHeight="1">
      <c r="A34" s="34"/>
      <c r="B34" s="246"/>
      <c r="C34" s="246"/>
      <c r="D34" s="34"/>
    </row>
    <row r="35" spans="1:10" ht="15.75">
      <c r="A35" s="6"/>
      <c r="D35" s="2"/>
      <c r="E35" s="2"/>
    </row>
    <row r="36" spans="1:10" ht="15.75">
      <c r="A36" s="6"/>
      <c r="D36" s="2"/>
      <c r="E36" s="2"/>
    </row>
    <row r="37" spans="1:10" ht="15" customHeight="1">
      <c r="A37" s="6"/>
      <c r="D37" s="2"/>
      <c r="E37" s="2"/>
    </row>
    <row r="38" spans="1:10" ht="13.5" customHeight="1">
      <c r="A38" s="6"/>
      <c r="D38" s="2"/>
      <c r="E38" s="2"/>
    </row>
    <row r="39" spans="1:10" ht="15.75">
      <c r="A39" s="382" t="s">
        <v>644</v>
      </c>
      <c r="B39" s="382"/>
      <c r="D39" s="382"/>
      <c r="E39" s="382"/>
      <c r="F39" s="382" t="s">
        <v>645</v>
      </c>
      <c r="G39" s="382"/>
      <c r="H39" s="382"/>
      <c r="I39" s="382"/>
      <c r="J39" s="382" t="s">
        <v>646</v>
      </c>
    </row>
    <row r="40" spans="1:10" ht="15.75">
      <c r="A40" s="131"/>
      <c r="D40" s="416"/>
      <c r="E40" s="416"/>
      <c r="F40" s="416"/>
      <c r="G40" s="416"/>
      <c r="H40" s="416"/>
      <c r="I40" s="416"/>
    </row>
  </sheetData>
  <mergeCells count="13">
    <mergeCell ref="D40:I40"/>
    <mergeCell ref="H2:I2"/>
    <mergeCell ref="H33:I33"/>
    <mergeCell ref="F8:G8"/>
    <mergeCell ref="H8:I8"/>
    <mergeCell ref="A8:A9"/>
    <mergeCell ref="B8:B9"/>
    <mergeCell ref="D8:E8"/>
    <mergeCell ref="J8:K8"/>
    <mergeCell ref="J2:K2"/>
    <mergeCell ref="A5:K5"/>
    <mergeCell ref="A6:K6"/>
    <mergeCell ref="C8:C9"/>
  </mergeCells>
  <phoneticPr fontId="14" type="noConversion"/>
  <pageMargins left="0.41" right="0.24" top="0.33" bottom="0.19" header="0.17" footer="0.18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5"/>
  <sheetViews>
    <sheetView topLeftCell="A369" workbookViewId="0">
      <selection activeCell="A350" sqref="A350:D384"/>
    </sheetView>
  </sheetViews>
  <sheetFormatPr defaultColWidth="16.7109375" defaultRowHeight="21.75" customHeight="1"/>
  <cols>
    <col min="1" max="1" width="6.5703125" style="2" customWidth="1"/>
    <col min="2" max="2" width="53.28515625" style="2" customWidth="1"/>
    <col min="3" max="3" width="21.140625" style="2" customWidth="1"/>
    <col min="4" max="4" width="20.5703125" style="2" customWidth="1"/>
    <col min="5" max="5" width="8.42578125" style="2" customWidth="1"/>
    <col min="6" max="6" width="12.42578125" style="2" customWidth="1"/>
    <col min="7" max="7" width="12.7109375" style="2" customWidth="1"/>
    <col min="8" max="8" width="8.42578125" style="2" customWidth="1"/>
    <col min="9" max="9" width="10.140625" style="2" customWidth="1"/>
    <col min="10" max="10" width="18.140625" style="6" customWidth="1"/>
    <col min="11" max="11" width="5" style="2" customWidth="1"/>
    <col min="12" max="12" width="15.85546875" style="2" customWidth="1"/>
    <col min="13" max="13" width="7.5703125" style="2" customWidth="1"/>
    <col min="14" max="14" width="7.140625" style="2" customWidth="1"/>
    <col min="15" max="15" width="7.7109375" style="2" customWidth="1"/>
    <col min="16" max="16" width="5" style="2" customWidth="1"/>
    <col min="17" max="17" width="4.7109375" style="2" customWidth="1"/>
    <col min="18" max="16384" width="16.7109375" style="2"/>
  </cols>
  <sheetData>
    <row r="1" spans="1:10" customFormat="1" ht="27.75" hidden="1" customHeight="1">
      <c r="A1" s="419" t="s">
        <v>600</v>
      </c>
      <c r="B1" s="419"/>
      <c r="C1" s="419"/>
      <c r="D1" s="419"/>
      <c r="E1" s="342" t="s">
        <v>601</v>
      </c>
      <c r="F1" s="375"/>
      <c r="J1" s="278"/>
    </row>
    <row r="2" spans="1:10" customFormat="1" ht="15" hidden="1" customHeight="1">
      <c r="A2" s="138" t="s">
        <v>637</v>
      </c>
      <c r="B2" s="37"/>
      <c r="C2" s="2"/>
      <c r="D2" s="135"/>
      <c r="E2" s="360" t="s">
        <v>638</v>
      </c>
      <c r="F2" s="376"/>
      <c r="J2" s="278"/>
    </row>
    <row r="3" spans="1:10" customFormat="1" ht="15.75" hidden="1" customHeight="1">
      <c r="A3" s="374" t="s">
        <v>403</v>
      </c>
      <c r="B3" s="143"/>
      <c r="C3" s="38"/>
      <c r="D3" s="136"/>
      <c r="E3" s="332" t="s">
        <v>602</v>
      </c>
      <c r="F3" s="376"/>
      <c r="J3" s="278"/>
    </row>
    <row r="4" spans="1:10" ht="10.5" hidden="1" customHeight="1">
      <c r="A4" s="127"/>
      <c r="B4" s="128"/>
      <c r="C4" s="7"/>
      <c r="D4" s="129"/>
      <c r="E4" s="7"/>
      <c r="F4" s="7"/>
    </row>
    <row r="5" spans="1:10" ht="42.75" hidden="1" customHeight="1">
      <c r="A5" s="423" t="s">
        <v>206</v>
      </c>
      <c r="B5" s="423"/>
      <c r="C5" s="423"/>
      <c r="D5" s="423"/>
      <c r="E5" s="423"/>
      <c r="F5" s="7"/>
    </row>
    <row r="6" spans="1:10" ht="22.5" hidden="1" customHeight="1">
      <c r="A6" s="416" t="s">
        <v>622</v>
      </c>
      <c r="B6" s="416"/>
      <c r="C6" s="416"/>
      <c r="D6" s="416"/>
      <c r="E6" s="416"/>
    </row>
    <row r="7" spans="1:10" ht="15.75" hidden="1" customHeight="1">
      <c r="C7" s="8"/>
      <c r="G7" s="25"/>
    </row>
    <row r="8" spans="1:10" ht="21.75" hidden="1" customHeight="1">
      <c r="A8" s="6" t="s">
        <v>207</v>
      </c>
      <c r="B8" s="6"/>
    </row>
    <row r="9" spans="1:10" ht="21.75" hidden="1" customHeight="1">
      <c r="A9" s="39" t="s">
        <v>418</v>
      </c>
      <c r="B9" s="39"/>
    </row>
    <row r="10" spans="1:10" ht="21.75" hidden="1" customHeight="1">
      <c r="A10" s="39" t="s">
        <v>208</v>
      </c>
      <c r="B10" s="39"/>
    </row>
    <row r="11" spans="1:10" ht="21.75" hidden="1" customHeight="1">
      <c r="A11" s="39" t="s">
        <v>209</v>
      </c>
      <c r="B11" s="39"/>
    </row>
    <row r="12" spans="1:10" ht="21.75" hidden="1" customHeight="1">
      <c r="A12" s="40" t="s">
        <v>210</v>
      </c>
      <c r="B12" s="39"/>
    </row>
    <row r="13" spans="1:10" ht="21.75" hidden="1" customHeight="1">
      <c r="A13" s="40" t="s">
        <v>407</v>
      </c>
      <c r="B13" s="39"/>
    </row>
    <row r="14" spans="1:10" ht="21.75" hidden="1" customHeight="1">
      <c r="A14" s="40" t="s">
        <v>408</v>
      </c>
      <c r="B14" s="39"/>
    </row>
    <row r="15" spans="1:10" ht="21.75" hidden="1" customHeight="1">
      <c r="A15" s="40" t="s">
        <v>399</v>
      </c>
      <c r="B15" s="40"/>
    </row>
    <row r="16" spans="1:10" ht="21.75" hidden="1" customHeight="1">
      <c r="A16" s="39" t="s">
        <v>211</v>
      </c>
      <c r="B16" s="40"/>
    </row>
    <row r="17" spans="1:2" ht="27" hidden="1" customHeight="1">
      <c r="A17" s="6" t="s">
        <v>212</v>
      </c>
      <c r="B17" s="6"/>
    </row>
    <row r="18" spans="1:2" ht="21.75" hidden="1" customHeight="1">
      <c r="A18" s="40" t="s">
        <v>623</v>
      </c>
      <c r="B18" s="40"/>
    </row>
    <row r="19" spans="1:2" ht="21.75" hidden="1" customHeight="1">
      <c r="A19" s="40" t="s">
        <v>213</v>
      </c>
      <c r="B19" s="40"/>
    </row>
    <row r="20" spans="1:2" ht="27.75" hidden="1" customHeight="1">
      <c r="A20" s="6" t="s">
        <v>214</v>
      </c>
      <c r="B20" s="6"/>
    </row>
    <row r="21" spans="1:2" ht="26.25" hidden="1" customHeight="1">
      <c r="A21" s="39" t="s">
        <v>528</v>
      </c>
      <c r="B21" s="40"/>
    </row>
    <row r="22" spans="1:2" ht="19.5" hidden="1" customHeight="1">
      <c r="A22" s="42" t="s">
        <v>529</v>
      </c>
      <c r="B22" s="40"/>
    </row>
    <row r="23" spans="1:2" ht="19.5" hidden="1" customHeight="1">
      <c r="A23" s="40" t="s">
        <v>530</v>
      </c>
      <c r="B23" s="40"/>
    </row>
    <row r="24" spans="1:2" ht="28.5" hidden="1" customHeight="1">
      <c r="A24" s="39" t="s">
        <v>215</v>
      </c>
      <c r="B24" s="40"/>
    </row>
    <row r="25" spans="1:2" ht="21.75" hidden="1" customHeight="1">
      <c r="A25" s="40" t="s">
        <v>216</v>
      </c>
      <c r="B25" s="40"/>
    </row>
    <row r="26" spans="1:2" ht="29.25" hidden="1" customHeight="1">
      <c r="A26" s="39" t="s">
        <v>217</v>
      </c>
      <c r="B26" s="40"/>
    </row>
    <row r="27" spans="1:2" ht="31.5" hidden="1" customHeight="1">
      <c r="A27" s="6" t="s">
        <v>218</v>
      </c>
      <c r="B27" s="6"/>
    </row>
    <row r="28" spans="1:2" ht="27" hidden="1" customHeight="1">
      <c r="A28" s="6" t="s">
        <v>219</v>
      </c>
      <c r="B28" s="6"/>
    </row>
    <row r="29" spans="1:2" ht="21.75" hidden="1" customHeight="1">
      <c r="A29" s="41" t="s">
        <v>220</v>
      </c>
      <c r="B29" s="41"/>
    </row>
    <row r="30" spans="1:2" ht="21.75" hidden="1" customHeight="1">
      <c r="A30" s="41" t="s">
        <v>221</v>
      </c>
      <c r="B30" s="41"/>
    </row>
    <row r="31" spans="1:2" ht="21" hidden="1" customHeight="1">
      <c r="A31" s="40" t="s">
        <v>222</v>
      </c>
      <c r="B31" s="40"/>
    </row>
    <row r="32" spans="1:2" ht="21" hidden="1" customHeight="1">
      <c r="A32" s="40" t="s">
        <v>223</v>
      </c>
      <c r="B32" s="40"/>
    </row>
    <row r="33" spans="1:4" ht="21" hidden="1" customHeight="1">
      <c r="A33" s="40" t="s">
        <v>603</v>
      </c>
      <c r="B33" s="40"/>
    </row>
    <row r="34" spans="1:4" ht="21" hidden="1" customHeight="1">
      <c r="A34" s="40"/>
      <c r="B34" s="40"/>
    </row>
    <row r="35" spans="1:4" ht="27.75" hidden="1" customHeight="1">
      <c r="A35" s="6" t="s">
        <v>224</v>
      </c>
      <c r="B35" s="6"/>
    </row>
    <row r="36" spans="1:4" ht="21" hidden="1" customHeight="1">
      <c r="A36" s="2" t="s">
        <v>225</v>
      </c>
      <c r="B36" s="42"/>
    </row>
    <row r="37" spans="1:4" ht="21" hidden="1" customHeight="1">
      <c r="A37" s="40" t="s">
        <v>2</v>
      </c>
      <c r="B37" s="42"/>
    </row>
    <row r="38" spans="1:4" ht="21" hidden="1" customHeight="1">
      <c r="A38" s="40" t="s">
        <v>3</v>
      </c>
      <c r="B38" s="42"/>
    </row>
    <row r="39" spans="1:4" ht="21.75" hidden="1" customHeight="1">
      <c r="A39" s="2" t="s">
        <v>226</v>
      </c>
      <c r="B39" s="42"/>
    </row>
    <row r="40" spans="1:4" ht="21.75" hidden="1" customHeight="1">
      <c r="A40" s="2" t="s">
        <v>227</v>
      </c>
      <c r="B40" s="42"/>
    </row>
    <row r="41" spans="1:4" ht="21.75" hidden="1" customHeight="1">
      <c r="A41" s="2" t="s">
        <v>228</v>
      </c>
      <c r="B41" s="42"/>
    </row>
    <row r="42" spans="1:4" ht="21.75" hidden="1" customHeight="1">
      <c r="A42" s="7" t="s">
        <v>229</v>
      </c>
      <c r="B42" s="43"/>
      <c r="C42" s="7"/>
      <c r="D42" s="7"/>
    </row>
    <row r="43" spans="1:4" ht="20.25" hidden="1" customHeight="1">
      <c r="A43" s="44" t="s">
        <v>230</v>
      </c>
      <c r="B43" s="43"/>
      <c r="C43" s="7"/>
      <c r="D43" s="7"/>
    </row>
    <row r="44" spans="1:4" ht="20.25" hidden="1" customHeight="1">
      <c r="A44" s="44" t="s">
        <v>231</v>
      </c>
      <c r="B44" s="43"/>
      <c r="C44" s="7"/>
      <c r="D44" s="7"/>
    </row>
    <row r="45" spans="1:4" ht="30.75" hidden="1" customHeight="1">
      <c r="A45" s="45" t="s">
        <v>232</v>
      </c>
      <c r="B45" s="45"/>
      <c r="C45" s="46"/>
      <c r="D45" s="46"/>
    </row>
    <row r="46" spans="1:4" ht="21.75" hidden="1" customHeight="1">
      <c r="A46" s="47" t="s">
        <v>233</v>
      </c>
      <c r="B46" s="48"/>
      <c r="C46" s="46"/>
      <c r="D46" s="46"/>
    </row>
    <row r="47" spans="1:4" ht="21.75" hidden="1" customHeight="1">
      <c r="A47" s="49" t="s">
        <v>234</v>
      </c>
      <c r="B47" s="48"/>
      <c r="C47" s="46"/>
      <c r="D47" s="46"/>
    </row>
    <row r="48" spans="1:4" ht="21.75" hidden="1" customHeight="1">
      <c r="A48" s="47" t="s">
        <v>235</v>
      </c>
      <c r="B48" s="48"/>
      <c r="C48" s="46"/>
      <c r="D48" s="46"/>
    </row>
    <row r="49" spans="1:10" s="377" customFormat="1" ht="42.75" hidden="1" customHeight="1">
      <c r="A49" s="422" t="s">
        <v>639</v>
      </c>
      <c r="B49" s="422"/>
      <c r="C49" s="422"/>
      <c r="D49" s="422"/>
      <c r="E49" s="422"/>
      <c r="J49" s="378"/>
    </row>
    <row r="50" spans="1:10" ht="20.25" hidden="1" customHeight="1">
      <c r="A50" s="49" t="s">
        <v>409</v>
      </c>
      <c r="B50" s="49"/>
      <c r="C50" s="46"/>
      <c r="D50" s="46"/>
    </row>
    <row r="51" spans="1:10" ht="21" hidden="1" customHeight="1">
      <c r="A51" s="49" t="s">
        <v>236</v>
      </c>
      <c r="B51" s="49"/>
      <c r="C51" s="46" t="s">
        <v>237</v>
      </c>
      <c r="D51" s="46"/>
    </row>
    <row r="52" spans="1:10" ht="21" hidden="1" customHeight="1">
      <c r="A52" s="49" t="s">
        <v>238</v>
      </c>
      <c r="B52" s="49"/>
      <c r="C52" s="46" t="s">
        <v>239</v>
      </c>
      <c r="D52" s="46"/>
    </row>
    <row r="53" spans="1:10" ht="21" hidden="1" customHeight="1">
      <c r="A53" s="49" t="s">
        <v>240</v>
      </c>
      <c r="B53" s="49"/>
      <c r="C53" s="46" t="s">
        <v>239</v>
      </c>
      <c r="D53" s="46"/>
    </row>
    <row r="54" spans="1:10" ht="21" hidden="1" customHeight="1">
      <c r="A54" s="49" t="s">
        <v>241</v>
      </c>
      <c r="B54" s="49"/>
      <c r="C54" s="46" t="s">
        <v>242</v>
      </c>
      <c r="D54" s="46"/>
    </row>
    <row r="55" spans="1:10" ht="21.75" hidden="1" customHeight="1">
      <c r="A55" s="45" t="s">
        <v>531</v>
      </c>
      <c r="B55" s="45"/>
      <c r="C55" s="46"/>
      <c r="D55" s="46"/>
      <c r="E55" s="46"/>
      <c r="F55" s="46"/>
      <c r="G55" s="46"/>
      <c r="H55" s="7"/>
    </row>
    <row r="56" spans="1:10" ht="21.75" hidden="1" customHeight="1">
      <c r="A56" s="47" t="s">
        <v>532</v>
      </c>
      <c r="B56" s="48"/>
      <c r="C56" s="46"/>
      <c r="D56" s="46"/>
      <c r="E56" s="46"/>
      <c r="F56" s="46"/>
      <c r="G56" s="46"/>
      <c r="H56" s="7"/>
    </row>
    <row r="57" spans="1:10" ht="21" hidden="1" customHeight="1">
      <c r="A57" s="40" t="s">
        <v>243</v>
      </c>
      <c r="B57" s="49"/>
      <c r="C57" s="46"/>
      <c r="D57" s="46"/>
      <c r="E57" s="46"/>
      <c r="F57" s="46"/>
      <c r="G57" s="46"/>
      <c r="H57" s="7"/>
    </row>
    <row r="58" spans="1:10" ht="21" hidden="1" customHeight="1">
      <c r="B58" s="50" t="s">
        <v>244</v>
      </c>
      <c r="C58" s="46"/>
      <c r="D58" s="46"/>
      <c r="E58" s="46"/>
      <c r="F58" s="46"/>
      <c r="G58" s="46"/>
      <c r="H58" s="7"/>
    </row>
    <row r="59" spans="1:10" ht="21" hidden="1" customHeight="1">
      <c r="B59" s="49" t="s">
        <v>245</v>
      </c>
      <c r="C59" s="46"/>
      <c r="D59" s="46"/>
      <c r="E59" s="46"/>
      <c r="F59" s="46"/>
      <c r="G59" s="46"/>
      <c r="H59" s="7"/>
    </row>
    <row r="60" spans="1:10" ht="21" hidden="1" customHeight="1">
      <c r="B60" s="50" t="s">
        <v>4</v>
      </c>
      <c r="C60" s="46"/>
      <c r="D60" s="46"/>
      <c r="E60" s="46"/>
      <c r="F60" s="46"/>
      <c r="G60" s="46"/>
      <c r="H60" s="7"/>
    </row>
    <row r="61" spans="1:10" ht="21" hidden="1" customHeight="1">
      <c r="B61" s="49" t="s">
        <v>5</v>
      </c>
      <c r="C61" s="46"/>
      <c r="D61" s="46"/>
      <c r="E61" s="46"/>
      <c r="F61" s="46"/>
      <c r="G61" s="46"/>
      <c r="H61" s="7"/>
    </row>
    <row r="62" spans="1:10" ht="21.75" hidden="1" customHeight="1">
      <c r="A62" s="47" t="s">
        <v>533</v>
      </c>
      <c r="B62" s="48"/>
      <c r="C62" s="46"/>
      <c r="D62" s="46"/>
      <c r="E62" s="46"/>
      <c r="F62" s="46"/>
      <c r="G62" s="46"/>
      <c r="H62" s="7"/>
    </row>
    <row r="63" spans="1:10" ht="21.75" hidden="1" customHeight="1">
      <c r="B63" s="49" t="s">
        <v>6</v>
      </c>
      <c r="C63" s="46"/>
      <c r="D63" s="46"/>
      <c r="E63" s="46"/>
      <c r="F63" s="46"/>
      <c r="G63" s="46"/>
      <c r="H63" s="7"/>
    </row>
    <row r="64" spans="1:10" ht="21.75" hidden="1" customHeight="1">
      <c r="B64" s="49" t="s">
        <v>7</v>
      </c>
      <c r="C64" s="46"/>
      <c r="D64" s="46"/>
      <c r="E64" s="46"/>
      <c r="F64" s="46"/>
      <c r="G64" s="46"/>
      <c r="H64" s="7"/>
    </row>
    <row r="65" spans="1:8" ht="21.75" hidden="1" customHeight="1">
      <c r="A65" s="39" t="s">
        <v>534</v>
      </c>
      <c r="E65" s="46"/>
      <c r="F65" s="46"/>
      <c r="G65" s="46"/>
      <c r="H65" s="7"/>
    </row>
    <row r="66" spans="1:8" ht="21.75" hidden="1" customHeight="1">
      <c r="A66" s="39" t="s">
        <v>535</v>
      </c>
      <c r="E66" s="46"/>
      <c r="F66" s="46"/>
      <c r="G66" s="46"/>
      <c r="H66" s="7"/>
    </row>
    <row r="67" spans="1:8" ht="21.75" hidden="1" customHeight="1">
      <c r="A67" s="47" t="s">
        <v>536</v>
      </c>
      <c r="B67" s="48"/>
      <c r="C67" s="46"/>
      <c r="D67" s="46"/>
      <c r="E67" s="46"/>
      <c r="F67" s="46"/>
      <c r="G67" s="46"/>
      <c r="H67" s="7"/>
    </row>
    <row r="68" spans="1:8" ht="21" hidden="1" customHeight="1">
      <c r="A68" s="48"/>
      <c r="B68" s="49" t="s">
        <v>435</v>
      </c>
      <c r="C68" s="46"/>
      <c r="D68" s="46"/>
      <c r="E68" s="46"/>
      <c r="F68" s="46"/>
      <c r="G68" s="46"/>
      <c r="H68" s="7"/>
    </row>
    <row r="69" spans="1:8" ht="21" hidden="1" customHeight="1">
      <c r="A69" s="48"/>
      <c r="B69" s="49" t="s">
        <v>436</v>
      </c>
      <c r="C69" s="46"/>
      <c r="D69" s="46"/>
      <c r="E69" s="46"/>
      <c r="F69" s="46"/>
      <c r="G69" s="46"/>
      <c r="H69" s="7"/>
    </row>
    <row r="70" spans="1:8" ht="21" hidden="1" customHeight="1">
      <c r="A70" s="48"/>
      <c r="B70" s="49" t="s">
        <v>8</v>
      </c>
      <c r="C70" s="46"/>
      <c r="D70" s="46"/>
      <c r="E70" s="46"/>
      <c r="F70" s="46"/>
      <c r="G70" s="46"/>
      <c r="H70" s="7"/>
    </row>
    <row r="71" spans="1:8" ht="21" hidden="1" customHeight="1">
      <c r="A71" s="48"/>
      <c r="B71" s="49" t="s">
        <v>9</v>
      </c>
      <c r="C71" s="46"/>
      <c r="D71" s="46"/>
      <c r="E71" s="46"/>
      <c r="F71" s="46"/>
      <c r="G71" s="46"/>
      <c r="H71" s="7"/>
    </row>
    <row r="72" spans="1:8" ht="21.75" hidden="1" customHeight="1">
      <c r="A72" s="47" t="s">
        <v>537</v>
      </c>
      <c r="B72" s="48"/>
      <c r="C72" s="46"/>
      <c r="D72" s="46"/>
      <c r="E72" s="46"/>
      <c r="F72" s="46"/>
      <c r="G72" s="46"/>
      <c r="H72" s="7"/>
    </row>
    <row r="73" spans="1:8" ht="20.25" hidden="1" customHeight="1">
      <c r="A73" s="47"/>
      <c r="B73" s="49" t="s">
        <v>246</v>
      </c>
      <c r="C73" s="46"/>
      <c r="D73" s="46"/>
      <c r="E73" s="46"/>
      <c r="F73" s="46"/>
      <c r="G73" s="46"/>
      <c r="H73" s="7"/>
    </row>
    <row r="74" spans="1:8" ht="20.25" hidden="1" customHeight="1">
      <c r="A74" s="47"/>
      <c r="B74" s="50" t="s">
        <v>10</v>
      </c>
      <c r="C74" s="46"/>
      <c r="D74" s="46"/>
      <c r="E74" s="46"/>
      <c r="F74" s="46"/>
      <c r="G74" s="46"/>
      <c r="H74" s="7"/>
    </row>
    <row r="75" spans="1:8" ht="20.25" hidden="1" customHeight="1">
      <c r="A75" s="47"/>
      <c r="B75" s="49" t="s">
        <v>11</v>
      </c>
      <c r="C75" s="46"/>
      <c r="D75" s="46"/>
      <c r="E75" s="46"/>
      <c r="F75" s="46"/>
      <c r="G75" s="46"/>
      <c r="H75" s="7"/>
    </row>
    <row r="76" spans="1:8" ht="20.25" hidden="1" customHeight="1">
      <c r="A76" s="47"/>
      <c r="B76" s="50" t="s">
        <v>12</v>
      </c>
      <c r="C76" s="46"/>
      <c r="D76" s="46"/>
      <c r="E76" s="46"/>
      <c r="F76" s="46"/>
      <c r="G76" s="46"/>
      <c r="H76" s="7"/>
    </row>
    <row r="77" spans="1:8" ht="20.25" hidden="1" customHeight="1">
      <c r="A77" s="47"/>
      <c r="B77" s="49" t="s">
        <v>13</v>
      </c>
      <c r="C77" s="46"/>
      <c r="D77" s="46"/>
      <c r="E77" s="46"/>
      <c r="F77" s="46"/>
      <c r="G77" s="46"/>
      <c r="H77" s="7"/>
    </row>
    <row r="78" spans="1:8" ht="20.25" hidden="1" customHeight="1">
      <c r="A78" s="47"/>
      <c r="B78" s="50" t="s">
        <v>14</v>
      </c>
      <c r="C78" s="46"/>
      <c r="D78" s="46"/>
      <c r="E78" s="46"/>
      <c r="F78" s="46"/>
      <c r="G78" s="46"/>
      <c r="H78" s="7"/>
    </row>
    <row r="79" spans="1:8" ht="20.25" hidden="1" customHeight="1">
      <c r="A79" s="47"/>
      <c r="B79" s="50" t="s">
        <v>15</v>
      </c>
      <c r="C79" s="46"/>
      <c r="D79" s="46"/>
      <c r="E79" s="46"/>
      <c r="F79" s="46"/>
      <c r="G79" s="46"/>
      <c r="H79" s="7"/>
    </row>
    <row r="80" spans="1:8" ht="21.75" hidden="1" customHeight="1">
      <c r="A80" s="47" t="s">
        <v>538</v>
      </c>
      <c r="B80" s="48"/>
      <c r="C80" s="46"/>
      <c r="D80" s="46"/>
      <c r="E80" s="46"/>
      <c r="F80" s="46"/>
      <c r="G80" s="46"/>
      <c r="H80" s="7"/>
    </row>
    <row r="81" spans="1:8" ht="21.75" hidden="1" customHeight="1">
      <c r="A81" s="48"/>
      <c r="B81" s="49" t="s">
        <v>247</v>
      </c>
      <c r="C81" s="46"/>
      <c r="D81" s="46"/>
      <c r="E81" s="46"/>
      <c r="F81" s="46"/>
      <c r="G81" s="46"/>
      <c r="H81" s="7"/>
    </row>
    <row r="82" spans="1:8" ht="21" hidden="1" customHeight="1">
      <c r="A82" s="48"/>
      <c r="B82" s="50" t="s">
        <v>16</v>
      </c>
      <c r="C82" s="46"/>
      <c r="D82" s="46"/>
      <c r="E82" s="46"/>
      <c r="F82" s="46"/>
      <c r="G82" s="46"/>
      <c r="H82" s="7"/>
    </row>
    <row r="83" spans="1:8" ht="21" hidden="1" customHeight="1">
      <c r="A83" s="48"/>
      <c r="B83" s="49" t="s">
        <v>17</v>
      </c>
      <c r="C83" s="46"/>
      <c r="D83" s="46"/>
      <c r="E83" s="46"/>
      <c r="F83" s="46"/>
      <c r="G83" s="46"/>
      <c r="H83" s="7"/>
    </row>
    <row r="84" spans="1:8" ht="21" hidden="1" customHeight="1">
      <c r="A84" s="48"/>
      <c r="B84" s="50" t="s">
        <v>441</v>
      </c>
      <c r="C84" s="46"/>
      <c r="D84" s="46"/>
      <c r="E84" s="46"/>
      <c r="F84" s="46"/>
      <c r="G84" s="46"/>
      <c r="H84" s="7"/>
    </row>
    <row r="85" spans="1:8" ht="21" hidden="1" customHeight="1">
      <c r="A85" s="48"/>
      <c r="B85" s="49" t="s">
        <v>13</v>
      </c>
      <c r="C85" s="46"/>
      <c r="D85" s="46"/>
      <c r="E85" s="46"/>
      <c r="F85" s="46"/>
      <c r="G85" s="46"/>
      <c r="H85" s="7"/>
    </row>
    <row r="86" spans="1:8" ht="21" hidden="1" customHeight="1">
      <c r="A86" s="48"/>
      <c r="B86" s="50" t="s">
        <v>18</v>
      </c>
      <c r="C86" s="46"/>
      <c r="D86" s="46"/>
      <c r="E86" s="46"/>
      <c r="F86" s="46"/>
      <c r="G86" s="46"/>
      <c r="H86" s="7"/>
    </row>
    <row r="87" spans="1:8" ht="21" hidden="1" customHeight="1">
      <c r="A87" s="48"/>
      <c r="B87" s="50" t="s">
        <v>19</v>
      </c>
      <c r="C87" s="46"/>
      <c r="D87" s="46"/>
      <c r="E87" s="46"/>
      <c r="F87" s="46"/>
      <c r="G87" s="46"/>
      <c r="H87" s="7"/>
    </row>
    <row r="88" spans="1:8" ht="21.75" hidden="1" customHeight="1">
      <c r="A88" s="47" t="s">
        <v>539</v>
      </c>
      <c r="B88" s="48"/>
      <c r="C88" s="46"/>
      <c r="D88" s="46"/>
      <c r="E88" s="46"/>
      <c r="F88" s="46"/>
      <c r="G88" s="46"/>
      <c r="H88" s="7"/>
    </row>
    <row r="89" spans="1:8" ht="23.25" hidden="1" customHeight="1">
      <c r="A89" s="47"/>
      <c r="B89" s="49" t="s">
        <v>20</v>
      </c>
      <c r="C89" s="46"/>
      <c r="D89" s="46"/>
      <c r="E89" s="46"/>
      <c r="F89" s="46"/>
      <c r="G89" s="46"/>
      <c r="H89" s="7"/>
    </row>
    <row r="90" spans="1:8" ht="23.25" hidden="1" customHeight="1">
      <c r="A90" s="47"/>
      <c r="B90" s="49" t="s">
        <v>21</v>
      </c>
      <c r="C90" s="46"/>
      <c r="D90" s="46"/>
      <c r="E90" s="46"/>
      <c r="F90" s="46"/>
      <c r="G90" s="46"/>
      <c r="H90" s="7"/>
    </row>
    <row r="91" spans="1:8" ht="23.25" hidden="1" customHeight="1">
      <c r="A91" s="47"/>
      <c r="B91" s="49" t="s">
        <v>22</v>
      </c>
      <c r="C91" s="46"/>
      <c r="D91" s="46"/>
      <c r="E91" s="46"/>
      <c r="F91" s="46"/>
      <c r="G91" s="46"/>
      <c r="H91" s="7"/>
    </row>
    <row r="92" spans="1:8" ht="21.75" hidden="1" customHeight="1">
      <c r="A92" s="47" t="s">
        <v>540</v>
      </c>
      <c r="B92" s="48"/>
      <c r="C92" s="46"/>
      <c r="D92" s="46"/>
      <c r="E92" s="46"/>
      <c r="F92" s="46"/>
      <c r="G92" s="46"/>
      <c r="H92" s="7"/>
    </row>
    <row r="93" spans="1:8" ht="22.5" hidden="1" customHeight="1">
      <c r="A93" s="47"/>
      <c r="B93" s="49" t="s">
        <v>23</v>
      </c>
      <c r="C93" s="46"/>
      <c r="D93" s="46"/>
      <c r="E93" s="46"/>
      <c r="F93" s="46"/>
      <c r="G93" s="46"/>
      <c r="H93" s="7"/>
    </row>
    <row r="94" spans="1:8" ht="22.5" hidden="1" customHeight="1">
      <c r="A94" s="47"/>
      <c r="B94" s="49" t="s">
        <v>24</v>
      </c>
      <c r="C94" s="46"/>
      <c r="D94" s="46"/>
      <c r="E94" s="46"/>
      <c r="F94" s="46"/>
      <c r="G94" s="46"/>
      <c r="H94" s="7"/>
    </row>
    <row r="95" spans="1:8" ht="26.25" hidden="1" customHeight="1">
      <c r="A95" s="45" t="s">
        <v>541</v>
      </c>
      <c r="B95" s="45"/>
      <c r="C95" s="46"/>
      <c r="D95" s="46"/>
      <c r="E95" s="46"/>
      <c r="F95" s="46"/>
      <c r="G95" s="46"/>
      <c r="H95" s="7"/>
    </row>
    <row r="96" spans="1:8" ht="21.75" hidden="1" customHeight="1">
      <c r="A96" s="47" t="s">
        <v>542</v>
      </c>
      <c r="B96" s="48"/>
      <c r="C96" s="46"/>
      <c r="D96" s="46"/>
      <c r="E96" s="46"/>
      <c r="F96" s="46"/>
      <c r="G96" s="46"/>
      <c r="H96" s="7"/>
    </row>
    <row r="97" spans="1:8" ht="24" hidden="1" customHeight="1">
      <c r="A97" s="47"/>
      <c r="B97" s="49" t="s">
        <v>437</v>
      </c>
      <c r="C97" s="46"/>
      <c r="D97" s="46"/>
      <c r="E97" s="46"/>
      <c r="F97" s="46"/>
      <c r="G97" s="46"/>
      <c r="H97" s="7"/>
    </row>
    <row r="98" spans="1:8" ht="24" hidden="1" customHeight="1">
      <c r="A98" s="47"/>
      <c r="B98" s="49" t="s">
        <v>522</v>
      </c>
      <c r="C98" s="46"/>
      <c r="D98" s="46"/>
      <c r="E98" s="46"/>
      <c r="F98" s="46"/>
      <c r="G98" s="46"/>
      <c r="H98" s="7"/>
    </row>
    <row r="99" spans="1:8" ht="24" hidden="1" customHeight="1">
      <c r="A99" s="47"/>
      <c r="B99" s="49" t="s">
        <v>523</v>
      </c>
      <c r="C99" s="46"/>
      <c r="D99" s="46"/>
      <c r="E99" s="46"/>
      <c r="F99" s="46"/>
      <c r="G99" s="46"/>
      <c r="H99" s="7"/>
    </row>
    <row r="100" spans="1:8" ht="24" hidden="1" customHeight="1">
      <c r="A100" s="47"/>
      <c r="B100" s="49" t="s">
        <v>248</v>
      </c>
      <c r="C100" s="46"/>
      <c r="D100" s="46"/>
      <c r="E100" s="46"/>
      <c r="F100" s="46"/>
      <c r="G100" s="46"/>
      <c r="H100" s="7"/>
    </row>
    <row r="101" spans="1:8" ht="24" hidden="1" customHeight="1">
      <c r="A101" s="47"/>
      <c r="B101" s="49" t="s">
        <v>249</v>
      </c>
      <c r="C101" s="46"/>
      <c r="D101" s="46"/>
      <c r="E101" s="46"/>
      <c r="F101" s="46"/>
      <c r="G101" s="46"/>
      <c r="H101" s="7"/>
    </row>
    <row r="102" spans="1:8" ht="24" hidden="1" customHeight="1">
      <c r="A102" s="47"/>
      <c r="B102" s="49" t="s">
        <v>250</v>
      </c>
      <c r="C102" s="46"/>
      <c r="D102" s="46"/>
      <c r="E102" s="46"/>
      <c r="F102" s="46"/>
      <c r="G102" s="46"/>
      <c r="H102" s="7"/>
    </row>
    <row r="103" spans="1:8" ht="24" hidden="1" customHeight="1">
      <c r="A103" s="47"/>
      <c r="B103" s="49" t="s">
        <v>251</v>
      </c>
      <c r="C103" s="46"/>
      <c r="D103" s="46"/>
      <c r="E103" s="46"/>
      <c r="F103" s="46"/>
      <c r="G103" s="46"/>
      <c r="H103" s="7"/>
    </row>
    <row r="104" spans="1:8" ht="24" hidden="1" customHeight="1">
      <c r="A104" s="47"/>
      <c r="B104" s="49" t="s">
        <v>252</v>
      </c>
      <c r="C104" s="46"/>
      <c r="D104" s="46"/>
      <c r="E104" s="46"/>
      <c r="F104" s="46"/>
      <c r="G104" s="46"/>
      <c r="H104" s="7"/>
    </row>
    <row r="105" spans="1:8" ht="21.75" hidden="1" customHeight="1">
      <c r="A105" s="47" t="s">
        <v>543</v>
      </c>
      <c r="B105" s="48"/>
      <c r="C105" s="46"/>
      <c r="D105" s="46"/>
      <c r="E105" s="46"/>
      <c r="F105" s="46"/>
      <c r="G105" s="46"/>
      <c r="H105" s="7"/>
    </row>
    <row r="106" spans="1:8" ht="21.75" hidden="1" customHeight="1">
      <c r="A106" s="47"/>
      <c r="B106" s="49" t="s">
        <v>25</v>
      </c>
      <c r="C106" s="46"/>
      <c r="D106" s="46"/>
      <c r="E106" s="46"/>
      <c r="F106" s="46"/>
      <c r="G106" s="46"/>
      <c r="H106" s="7"/>
    </row>
    <row r="107" spans="1:8" ht="21.75" hidden="1" customHeight="1">
      <c r="A107" s="47"/>
      <c r="B107" s="49" t="s">
        <v>26</v>
      </c>
      <c r="C107" s="46"/>
      <c r="D107" s="46"/>
      <c r="E107" s="46"/>
      <c r="F107" s="46"/>
      <c r="G107" s="46"/>
      <c r="H107" s="7"/>
    </row>
    <row r="108" spans="1:8" ht="25.5" hidden="1" customHeight="1">
      <c r="A108" s="45" t="s">
        <v>544</v>
      </c>
      <c r="B108" s="48"/>
      <c r="C108" s="46"/>
      <c r="D108" s="46"/>
      <c r="E108" s="46"/>
      <c r="F108" s="46"/>
      <c r="G108" s="46"/>
      <c r="H108" s="7"/>
    </row>
    <row r="109" spans="1:8" ht="21.75" hidden="1" customHeight="1">
      <c r="A109" s="49" t="s">
        <v>545</v>
      </c>
      <c r="C109" s="46"/>
      <c r="D109" s="46"/>
      <c r="E109" s="46"/>
      <c r="F109" s="46"/>
      <c r="G109" s="46"/>
      <c r="H109" s="7"/>
    </row>
    <row r="110" spans="1:8" ht="23.25" hidden="1" customHeight="1">
      <c r="B110" s="49" t="s">
        <v>426</v>
      </c>
      <c r="C110" s="46"/>
      <c r="D110" s="46"/>
      <c r="E110" s="46"/>
      <c r="F110" s="46"/>
      <c r="G110" s="46"/>
      <c r="H110" s="7"/>
    </row>
    <row r="111" spans="1:8" ht="23.25" hidden="1" customHeight="1">
      <c r="B111" s="49" t="s">
        <v>425</v>
      </c>
      <c r="C111" s="46"/>
      <c r="D111" s="46"/>
      <c r="E111" s="46"/>
      <c r="F111" s="46"/>
      <c r="G111" s="46"/>
      <c r="H111" s="7"/>
    </row>
    <row r="112" spans="1:8" ht="21.75" hidden="1" customHeight="1">
      <c r="A112" s="49" t="s">
        <v>546</v>
      </c>
      <c r="C112" s="46"/>
      <c r="D112" s="46"/>
      <c r="E112" s="46"/>
      <c r="F112" s="46"/>
      <c r="G112" s="46"/>
      <c r="H112" s="7"/>
    </row>
    <row r="113" spans="1:8" ht="23.25" hidden="1" customHeight="1">
      <c r="B113" s="49" t="s">
        <v>424</v>
      </c>
      <c r="C113" s="46"/>
      <c r="D113" s="46"/>
      <c r="E113" s="46"/>
      <c r="F113" s="46"/>
      <c r="G113" s="46"/>
      <c r="H113" s="7"/>
    </row>
    <row r="114" spans="1:8" ht="23.25" hidden="1" customHeight="1">
      <c r="B114" s="49" t="s">
        <v>425</v>
      </c>
      <c r="C114" s="46"/>
      <c r="D114" s="46"/>
      <c r="E114" s="46"/>
      <c r="F114" s="46"/>
      <c r="G114" s="46"/>
      <c r="H114" s="7"/>
    </row>
    <row r="115" spans="1:8" ht="21.75" hidden="1" customHeight="1">
      <c r="A115" s="49" t="s">
        <v>547</v>
      </c>
      <c r="B115" s="48"/>
      <c r="C115" s="46"/>
      <c r="D115" s="46"/>
      <c r="E115" s="46"/>
      <c r="F115" s="46"/>
      <c r="G115" s="46"/>
      <c r="H115" s="7"/>
    </row>
    <row r="116" spans="1:8" ht="23.25" hidden="1" customHeight="1">
      <c r="A116" s="48"/>
      <c r="B116" s="49" t="s">
        <v>27</v>
      </c>
      <c r="C116" s="46"/>
      <c r="D116" s="46"/>
      <c r="E116" s="46"/>
      <c r="F116" s="46"/>
      <c r="G116" s="46"/>
      <c r="H116" s="7"/>
    </row>
    <row r="117" spans="1:8" ht="23.25" hidden="1" customHeight="1">
      <c r="A117" s="48"/>
      <c r="B117" s="49" t="s">
        <v>28</v>
      </c>
      <c r="C117" s="46"/>
      <c r="D117" s="46"/>
      <c r="E117" s="46"/>
      <c r="F117" s="46"/>
      <c r="G117" s="46"/>
      <c r="H117" s="7"/>
    </row>
    <row r="118" spans="1:8" ht="23.25" hidden="1" customHeight="1">
      <c r="A118" s="48"/>
      <c r="B118" s="49" t="s">
        <v>253</v>
      </c>
      <c r="C118" s="46"/>
      <c r="D118" s="46"/>
      <c r="E118" s="46"/>
      <c r="F118" s="46"/>
      <c r="G118" s="46"/>
      <c r="H118" s="7"/>
    </row>
    <row r="119" spans="1:8" ht="23.25" hidden="1" customHeight="1">
      <c r="A119" s="48"/>
      <c r="B119" s="49" t="s">
        <v>604</v>
      </c>
      <c r="C119" s="46"/>
      <c r="D119" s="46"/>
      <c r="E119" s="46"/>
      <c r="F119" s="46"/>
      <c r="G119" s="46"/>
      <c r="H119" s="7"/>
    </row>
    <row r="120" spans="1:8" ht="27" hidden="1" customHeight="1">
      <c r="A120" s="45" t="s">
        <v>548</v>
      </c>
      <c r="B120" s="45"/>
      <c r="C120" s="46"/>
      <c r="D120" s="46"/>
      <c r="E120" s="46"/>
      <c r="F120" s="46"/>
      <c r="G120" s="46"/>
      <c r="H120" s="7"/>
    </row>
    <row r="121" spans="1:8" ht="23.25" hidden="1" customHeight="1">
      <c r="B121" s="50" t="s">
        <v>525</v>
      </c>
      <c r="E121" s="46"/>
      <c r="F121" s="46"/>
      <c r="G121" s="46"/>
      <c r="H121" s="7"/>
    </row>
    <row r="122" spans="1:8" ht="23.25" hidden="1" customHeight="1">
      <c r="B122" s="49" t="s">
        <v>524</v>
      </c>
      <c r="E122" s="46"/>
      <c r="F122" s="46"/>
      <c r="G122" s="46"/>
      <c r="H122" s="7"/>
    </row>
    <row r="123" spans="1:8" ht="23.25" hidden="1" customHeight="1">
      <c r="B123" s="50" t="s">
        <v>527</v>
      </c>
      <c r="E123" s="46"/>
      <c r="F123" s="46"/>
      <c r="G123" s="46"/>
      <c r="H123" s="7"/>
    </row>
    <row r="124" spans="1:8" ht="23.25" hidden="1" customHeight="1">
      <c r="B124" s="49" t="s">
        <v>526</v>
      </c>
      <c r="E124" s="46"/>
      <c r="F124" s="46"/>
      <c r="G124" s="46"/>
      <c r="H124" s="7"/>
    </row>
    <row r="125" spans="1:8" ht="23.25" hidden="1" customHeight="1">
      <c r="B125" s="49" t="s">
        <v>254</v>
      </c>
      <c r="E125" s="46"/>
      <c r="F125" s="46"/>
      <c r="G125" s="46"/>
      <c r="H125" s="7"/>
    </row>
    <row r="126" spans="1:8" ht="23.25" hidden="1" customHeight="1">
      <c r="B126" s="49" t="s">
        <v>255</v>
      </c>
      <c r="E126" s="46"/>
      <c r="F126" s="46"/>
      <c r="G126" s="46"/>
      <c r="H126" s="7"/>
    </row>
    <row r="127" spans="1:8" ht="26.25" hidden="1" customHeight="1">
      <c r="A127" s="39" t="s">
        <v>549</v>
      </c>
      <c r="E127" s="46"/>
      <c r="F127" s="46"/>
      <c r="G127" s="46"/>
      <c r="H127" s="7"/>
    </row>
    <row r="128" spans="1:8" ht="21.75" hidden="1" customHeight="1">
      <c r="A128" s="2" t="s">
        <v>550</v>
      </c>
      <c r="E128" s="46"/>
      <c r="F128" s="46"/>
      <c r="G128" s="46"/>
      <c r="H128" s="7"/>
    </row>
    <row r="129" spans="1:8" ht="23.25" hidden="1" customHeight="1">
      <c r="B129" s="40" t="s">
        <v>29</v>
      </c>
      <c r="E129" s="46"/>
      <c r="F129" s="46"/>
      <c r="G129" s="46"/>
      <c r="H129" s="7"/>
    </row>
    <row r="130" spans="1:8" ht="23.25" hidden="1" customHeight="1">
      <c r="B130" s="40" t="s">
        <v>30</v>
      </c>
      <c r="E130" s="46"/>
      <c r="F130" s="46"/>
      <c r="G130" s="46"/>
      <c r="H130" s="7"/>
    </row>
    <row r="131" spans="1:8" ht="23.25" hidden="1" customHeight="1">
      <c r="B131" s="40" t="s">
        <v>31</v>
      </c>
      <c r="E131" s="46"/>
      <c r="F131" s="46"/>
      <c r="G131" s="46"/>
      <c r="H131" s="7"/>
    </row>
    <row r="132" spans="1:8" ht="23.25" hidden="1" customHeight="1">
      <c r="B132" s="40" t="s">
        <v>32</v>
      </c>
      <c r="E132" s="46"/>
      <c r="F132" s="46"/>
      <c r="G132" s="46"/>
      <c r="H132" s="7"/>
    </row>
    <row r="133" spans="1:8" ht="21.75" hidden="1" customHeight="1">
      <c r="A133" s="2" t="s">
        <v>551</v>
      </c>
      <c r="E133" s="46"/>
      <c r="F133" s="46"/>
      <c r="G133" s="46"/>
      <c r="H133" s="7"/>
    </row>
    <row r="134" spans="1:8" ht="24.75" hidden="1" customHeight="1">
      <c r="B134" s="40" t="s">
        <v>33</v>
      </c>
      <c r="E134" s="46"/>
      <c r="F134" s="46"/>
      <c r="G134" s="46"/>
      <c r="H134" s="7"/>
    </row>
    <row r="135" spans="1:8" ht="24.75" hidden="1" customHeight="1">
      <c r="B135" s="40" t="s">
        <v>34</v>
      </c>
      <c r="E135" s="46"/>
      <c r="F135" s="46"/>
      <c r="G135" s="46"/>
      <c r="H135" s="7"/>
    </row>
    <row r="136" spans="1:8" ht="27.75" hidden="1" customHeight="1">
      <c r="A136" s="39" t="s">
        <v>552</v>
      </c>
      <c r="E136" s="46"/>
      <c r="F136" s="46"/>
      <c r="G136" s="46"/>
      <c r="H136" s="7"/>
    </row>
    <row r="137" spans="1:8" ht="23.25" hidden="1" customHeight="1">
      <c r="B137" s="40" t="s">
        <v>561</v>
      </c>
      <c r="E137" s="46"/>
      <c r="F137" s="46"/>
      <c r="G137" s="46"/>
      <c r="H137" s="7"/>
    </row>
    <row r="138" spans="1:8" ht="27.75" hidden="1" customHeight="1">
      <c r="A138" s="45" t="s">
        <v>553</v>
      </c>
      <c r="B138" s="47"/>
      <c r="C138" s="46"/>
      <c r="D138" s="46"/>
      <c r="E138" s="46"/>
      <c r="F138" s="46"/>
      <c r="G138" s="46"/>
      <c r="H138" s="7"/>
    </row>
    <row r="139" spans="1:8" ht="23.25" hidden="1" customHeight="1">
      <c r="A139" s="47" t="s">
        <v>554</v>
      </c>
      <c r="B139" s="49"/>
      <c r="C139" s="46"/>
      <c r="D139" s="46"/>
      <c r="E139" s="46"/>
      <c r="F139" s="46"/>
      <c r="G139" s="46"/>
      <c r="H139" s="7"/>
    </row>
    <row r="140" spans="1:8" ht="23.25" hidden="1" customHeight="1">
      <c r="A140" s="49"/>
      <c r="B140" s="50" t="s">
        <v>35</v>
      </c>
      <c r="C140" s="46"/>
      <c r="D140" s="46"/>
      <c r="E140" s="46"/>
      <c r="F140" s="46"/>
      <c r="G140" s="46"/>
      <c r="H140" s="7"/>
    </row>
    <row r="141" spans="1:8" ht="23.25" hidden="1" customHeight="1">
      <c r="A141" s="45"/>
      <c r="B141" s="49" t="s">
        <v>36</v>
      </c>
      <c r="C141" s="46"/>
      <c r="D141" s="46"/>
      <c r="E141" s="46"/>
      <c r="F141" s="46"/>
      <c r="G141" s="46"/>
      <c r="H141" s="7"/>
    </row>
    <row r="142" spans="1:8" ht="23.25" hidden="1" customHeight="1">
      <c r="A142" s="45"/>
      <c r="B142" s="50" t="s">
        <v>37</v>
      </c>
      <c r="C142" s="46"/>
      <c r="D142" s="46"/>
      <c r="E142" s="46"/>
      <c r="F142" s="46"/>
      <c r="G142" s="46"/>
      <c r="H142" s="7"/>
    </row>
    <row r="143" spans="1:8" ht="23.25" hidden="1" customHeight="1">
      <c r="A143" s="45"/>
      <c r="B143" s="49" t="s">
        <v>38</v>
      </c>
      <c r="C143" s="46"/>
      <c r="D143" s="46"/>
      <c r="E143" s="46"/>
      <c r="F143" s="46"/>
      <c r="G143" s="46"/>
      <c r="H143" s="7"/>
    </row>
    <row r="144" spans="1:8" ht="23.25" hidden="1" customHeight="1">
      <c r="A144" s="45"/>
      <c r="B144" s="50" t="s">
        <v>256</v>
      </c>
      <c r="C144" s="46"/>
      <c r="D144" s="46"/>
      <c r="E144" s="46"/>
      <c r="F144" s="46"/>
      <c r="G144" s="46"/>
      <c r="H144" s="7"/>
    </row>
    <row r="145" spans="1:10" ht="23.25" hidden="1" customHeight="1">
      <c r="A145" s="45"/>
      <c r="B145" s="50" t="s">
        <v>257</v>
      </c>
      <c r="C145" s="46"/>
      <c r="D145" s="46"/>
      <c r="E145" s="46"/>
      <c r="F145" s="46"/>
      <c r="G145" s="46"/>
      <c r="H145" s="7"/>
    </row>
    <row r="146" spans="1:10" ht="23.25" hidden="1" customHeight="1">
      <c r="A146" s="48"/>
      <c r="B146" s="50" t="s">
        <v>258</v>
      </c>
      <c r="C146" s="46"/>
      <c r="D146" s="46"/>
      <c r="E146" s="46"/>
      <c r="F146" s="46"/>
      <c r="G146" s="46"/>
      <c r="H146" s="7"/>
    </row>
    <row r="147" spans="1:10" ht="23.25" hidden="1" customHeight="1">
      <c r="A147" s="47" t="s">
        <v>555</v>
      </c>
      <c r="B147" s="50"/>
      <c r="C147" s="46"/>
      <c r="D147" s="46"/>
      <c r="E147" s="46"/>
      <c r="F147" s="46"/>
      <c r="G147" s="46"/>
      <c r="H147" s="7"/>
    </row>
    <row r="148" spans="1:10" ht="23.25" hidden="1" customHeight="1">
      <c r="A148" s="48"/>
      <c r="B148" s="49" t="s">
        <v>39</v>
      </c>
      <c r="C148" s="46"/>
      <c r="D148" s="46"/>
      <c r="E148" s="46"/>
      <c r="F148" s="46"/>
      <c r="G148" s="46"/>
      <c r="H148" s="7"/>
    </row>
    <row r="149" spans="1:10" ht="23.25" hidden="1" customHeight="1">
      <c r="A149" s="48"/>
      <c r="B149" s="49" t="s">
        <v>40</v>
      </c>
      <c r="C149" s="46"/>
      <c r="D149" s="46"/>
      <c r="E149" s="46"/>
      <c r="F149" s="46"/>
      <c r="G149" s="46"/>
      <c r="H149" s="7"/>
    </row>
    <row r="150" spans="1:10" ht="23.25" hidden="1" customHeight="1">
      <c r="A150" s="48"/>
      <c r="B150" s="50" t="s">
        <v>259</v>
      </c>
      <c r="C150" s="46"/>
      <c r="D150" s="46"/>
      <c r="E150" s="46"/>
      <c r="F150" s="46"/>
      <c r="G150" s="46"/>
      <c r="H150" s="7"/>
    </row>
    <row r="151" spans="1:10" ht="23.25" hidden="1" customHeight="1">
      <c r="A151" s="48"/>
      <c r="B151" s="50" t="s">
        <v>256</v>
      </c>
      <c r="C151" s="46"/>
      <c r="D151" s="46"/>
      <c r="E151" s="46"/>
      <c r="F151" s="46"/>
      <c r="G151" s="46"/>
      <c r="H151" s="7"/>
    </row>
    <row r="152" spans="1:10" ht="23.25" hidden="1" customHeight="1">
      <c r="A152" s="48"/>
      <c r="B152" s="49" t="s">
        <v>438</v>
      </c>
      <c r="C152" s="46"/>
      <c r="D152" s="46"/>
      <c r="E152" s="46"/>
      <c r="F152" s="46"/>
      <c r="G152" s="46"/>
      <c r="H152" s="7"/>
    </row>
    <row r="153" spans="1:10" ht="24" hidden="1" customHeight="1">
      <c r="A153" s="45" t="s">
        <v>556</v>
      </c>
      <c r="B153" s="49"/>
      <c r="C153" s="46"/>
      <c r="D153" s="46"/>
      <c r="E153" s="46"/>
      <c r="F153" s="46"/>
      <c r="G153" s="46"/>
      <c r="H153" s="7"/>
    </row>
    <row r="154" spans="1:10" s="40" customFormat="1" ht="25.5" hidden="1" customHeight="1">
      <c r="A154" s="45" t="s">
        <v>557</v>
      </c>
      <c r="B154" s="49"/>
      <c r="C154" s="46"/>
      <c r="D154" s="46"/>
      <c r="E154" s="46"/>
      <c r="F154" s="46"/>
      <c r="G154" s="46"/>
      <c r="H154" s="44"/>
      <c r="J154" s="39"/>
    </row>
    <row r="155" spans="1:10" s="40" customFormat="1" ht="21.75" hidden="1" customHeight="1">
      <c r="A155" s="45" t="s">
        <v>260</v>
      </c>
      <c r="B155" s="49"/>
      <c r="C155" s="46"/>
      <c r="D155" s="46"/>
      <c r="E155" s="46"/>
      <c r="F155" s="46"/>
      <c r="G155" s="46"/>
      <c r="H155" s="44"/>
      <c r="J155" s="39"/>
    </row>
    <row r="156" spans="1:10" s="40" customFormat="1" ht="24" hidden="1" customHeight="1">
      <c r="A156" s="45" t="s">
        <v>558</v>
      </c>
      <c r="B156" s="49"/>
      <c r="C156" s="46"/>
      <c r="D156" s="46"/>
      <c r="E156" s="46"/>
      <c r="F156" s="46"/>
      <c r="G156" s="46"/>
      <c r="H156" s="44"/>
      <c r="J156" s="39"/>
    </row>
    <row r="157" spans="1:10" s="40" customFormat="1" ht="27" hidden="1" customHeight="1">
      <c r="A157" s="45" t="s">
        <v>559</v>
      </c>
      <c r="B157" s="49"/>
      <c r="C157" s="46"/>
      <c r="D157" s="46"/>
      <c r="E157" s="46"/>
      <c r="F157" s="46"/>
      <c r="G157" s="46"/>
      <c r="H157" s="44"/>
      <c r="J157" s="39"/>
    </row>
    <row r="158" spans="1:10" ht="10.5" hidden="1" customHeight="1">
      <c r="A158" s="51"/>
      <c r="B158" s="49"/>
      <c r="C158" s="46"/>
      <c r="D158" s="46"/>
      <c r="E158" s="46"/>
      <c r="F158" s="46"/>
      <c r="G158" s="46"/>
      <c r="H158" s="7"/>
    </row>
    <row r="159" spans="1:10" ht="20.25" hidden="1" customHeight="1">
      <c r="A159" s="6" t="s">
        <v>261</v>
      </c>
      <c r="B159" s="6"/>
    </row>
    <row r="160" spans="1:10" ht="15" hidden="1" customHeight="1">
      <c r="A160" s="6"/>
      <c r="B160" s="6"/>
    </row>
    <row r="161" spans="1:5" ht="22.5" hidden="1" customHeight="1">
      <c r="A161" s="52" t="s">
        <v>262</v>
      </c>
      <c r="B161" s="52"/>
      <c r="C161" s="16" t="s">
        <v>160</v>
      </c>
      <c r="D161" s="16" t="s">
        <v>95</v>
      </c>
      <c r="E161" s="1"/>
    </row>
    <row r="162" spans="1:5" ht="20.25" hidden="1" customHeight="1">
      <c r="A162" s="53"/>
      <c r="B162" s="54" t="s">
        <v>263</v>
      </c>
      <c r="C162" s="10">
        <v>28150232</v>
      </c>
      <c r="D162" s="10">
        <v>19958368</v>
      </c>
    </row>
    <row r="163" spans="1:5" ht="20.25" hidden="1" customHeight="1">
      <c r="A163" s="55"/>
      <c r="B163" s="56" t="s">
        <v>264</v>
      </c>
      <c r="C163" s="11">
        <v>2495259553</v>
      </c>
      <c r="D163" s="11">
        <v>10938282084</v>
      </c>
    </row>
    <row r="164" spans="1:5" ht="20.25" hidden="1" customHeight="1">
      <c r="A164" s="55"/>
      <c r="B164" s="56" t="s">
        <v>400</v>
      </c>
      <c r="C164" s="11">
        <f>C165+C166</f>
        <v>1000000000</v>
      </c>
      <c r="D164" s="11">
        <f>D165+D166</f>
        <v>5000000000</v>
      </c>
    </row>
    <row r="165" spans="1:5" ht="20.25" hidden="1" customHeight="1">
      <c r="A165" s="55"/>
      <c r="B165" s="13" t="s">
        <v>41</v>
      </c>
      <c r="C165" s="13">
        <v>0</v>
      </c>
      <c r="D165" s="13">
        <v>0</v>
      </c>
    </row>
    <row r="166" spans="1:5" ht="20.25" hidden="1" customHeight="1">
      <c r="A166" s="55"/>
      <c r="B166" s="13" t="s">
        <v>42</v>
      </c>
      <c r="C166" s="13">
        <v>1000000000</v>
      </c>
      <c r="D166" s="13">
        <v>5000000000</v>
      </c>
    </row>
    <row r="167" spans="1:5" ht="23.25" hidden="1" customHeight="1">
      <c r="A167" s="55"/>
      <c r="B167" s="56" t="s">
        <v>265</v>
      </c>
      <c r="C167" s="11">
        <v>0</v>
      </c>
      <c r="D167" s="11">
        <v>0</v>
      </c>
    </row>
    <row r="168" spans="1:5" ht="22.5" hidden="1" customHeight="1">
      <c r="A168" s="57"/>
      <c r="B168" s="58" t="s">
        <v>266</v>
      </c>
      <c r="C168" s="59">
        <f>SUM(C162:C164)</f>
        <v>3523409785</v>
      </c>
      <c r="D168" s="59">
        <f>SUM(D162:D164)</f>
        <v>15958240452</v>
      </c>
    </row>
    <row r="169" spans="1:5" ht="18" hidden="1" customHeight="1">
      <c r="A169" s="61"/>
      <c r="B169" s="23"/>
      <c r="C169" s="24"/>
      <c r="D169" s="24"/>
    </row>
    <row r="170" spans="1:5" ht="21.75" hidden="1" customHeight="1">
      <c r="A170" s="62" t="s">
        <v>521</v>
      </c>
      <c r="B170" s="16"/>
      <c r="C170" s="16" t="str">
        <f>C161</f>
        <v>Sè cuèi kú</v>
      </c>
      <c r="D170" s="16" t="str">
        <f>D161</f>
        <v>Sè ®Çu n¨m</v>
      </c>
    </row>
    <row r="171" spans="1:5" ht="21.75" hidden="1" customHeight="1">
      <c r="A171" s="63"/>
      <c r="B171" s="64" t="s">
        <v>442</v>
      </c>
      <c r="C171" s="10">
        <v>2000000000</v>
      </c>
      <c r="D171" s="10">
        <v>2000000000</v>
      </c>
    </row>
    <row r="172" spans="1:5" ht="21.75" hidden="1" customHeight="1">
      <c r="A172" s="65"/>
      <c r="B172" s="66" t="s">
        <v>618</v>
      </c>
      <c r="C172" s="67">
        <v>0</v>
      </c>
      <c r="D172" s="67">
        <v>0</v>
      </c>
    </row>
    <row r="173" spans="1:5" ht="23.25" hidden="1" customHeight="1">
      <c r="A173" s="57"/>
      <c r="B173" s="58" t="s">
        <v>266</v>
      </c>
      <c r="C173" s="59">
        <f>SUM(C171:C172)</f>
        <v>2000000000</v>
      </c>
      <c r="D173" s="60">
        <f>SUM(D170:D172)</f>
        <v>2000000000</v>
      </c>
    </row>
    <row r="174" spans="1:5" ht="18.75" hidden="1" customHeight="1">
      <c r="A174" s="45"/>
      <c r="B174" s="23"/>
      <c r="C174" s="23"/>
      <c r="D174" s="23"/>
    </row>
    <row r="175" spans="1:5" ht="22.5" hidden="1" customHeight="1">
      <c r="A175" s="68" t="s">
        <v>267</v>
      </c>
      <c r="B175" s="69"/>
      <c r="C175" s="16" t="str">
        <f>C161</f>
        <v>Sè cuèi kú</v>
      </c>
      <c r="D175" s="16" t="str">
        <f>D161</f>
        <v>Sè ®Çu n¨m</v>
      </c>
    </row>
    <row r="176" spans="1:5" ht="27" hidden="1" customHeight="1">
      <c r="A176" s="53"/>
      <c r="B176" s="54" t="s">
        <v>268</v>
      </c>
      <c r="C176" s="70">
        <v>5270000</v>
      </c>
      <c r="D176" s="70">
        <v>6700000</v>
      </c>
    </row>
    <row r="177" spans="1:4" ht="27" hidden="1" customHeight="1">
      <c r="A177" s="55"/>
      <c r="B177" s="56" t="s">
        <v>443</v>
      </c>
      <c r="C177" s="11">
        <v>41252330</v>
      </c>
      <c r="D177" s="11">
        <v>37393200</v>
      </c>
    </row>
    <row r="178" spans="1:4" ht="27" hidden="1" customHeight="1">
      <c r="A178" s="55"/>
      <c r="B178" s="56" t="s">
        <v>269</v>
      </c>
      <c r="C178" s="11">
        <f>SUM(C179:C180)</f>
        <v>30391200</v>
      </c>
      <c r="D178" s="11">
        <f>SUM(D179:D180)</f>
        <v>225128434</v>
      </c>
    </row>
    <row r="179" spans="1:4" ht="27" hidden="1" customHeight="1">
      <c r="A179" s="55"/>
      <c r="B179" s="13" t="s">
        <v>410</v>
      </c>
      <c r="C179" s="13">
        <v>391200</v>
      </c>
      <c r="D179" s="13">
        <v>21228334</v>
      </c>
    </row>
    <row r="180" spans="1:4" ht="27" hidden="1" customHeight="1">
      <c r="A180" s="55"/>
      <c r="B180" s="13" t="s">
        <v>593</v>
      </c>
      <c r="C180" s="13">
        <v>30000000</v>
      </c>
      <c r="D180" s="13">
        <f>90000000+26131973+87768127</f>
        <v>203900100</v>
      </c>
    </row>
    <row r="181" spans="1:4" ht="27" hidden="1" customHeight="1">
      <c r="A181" s="57"/>
      <c r="B181" s="16" t="s">
        <v>266</v>
      </c>
      <c r="C181" s="60">
        <f>SUM(C176:C178)</f>
        <v>76913530</v>
      </c>
      <c r="D181" s="60">
        <f>SUM(D176:D178)</f>
        <v>269221634</v>
      </c>
    </row>
    <row r="182" spans="1:4" ht="14.25" hidden="1" customHeight="1">
      <c r="A182" s="61"/>
      <c r="B182" s="23"/>
      <c r="C182" s="24"/>
      <c r="D182" s="24"/>
    </row>
    <row r="183" spans="1:4" ht="24.75" hidden="1" customHeight="1">
      <c r="A183" s="68" t="s">
        <v>560</v>
      </c>
      <c r="B183" s="71"/>
      <c r="C183" s="16" t="str">
        <f>C175</f>
        <v>Sè cuèi kú</v>
      </c>
      <c r="D183" s="16" t="str">
        <f>D175</f>
        <v>Sè ®Çu n¨m</v>
      </c>
    </row>
    <row r="184" spans="1:4" ht="24.75" hidden="1" customHeight="1">
      <c r="A184" s="55"/>
      <c r="B184" s="56" t="s">
        <v>270</v>
      </c>
      <c r="C184" s="112">
        <v>15729691375</v>
      </c>
      <c r="D184" s="11">
        <v>20746509815</v>
      </c>
    </row>
    <row r="185" spans="1:4" ht="24.75" hidden="1" customHeight="1">
      <c r="A185" s="55"/>
      <c r="B185" s="56" t="s">
        <v>271</v>
      </c>
      <c r="C185" s="11">
        <v>752082756</v>
      </c>
      <c r="D185" s="11">
        <v>746523206</v>
      </c>
    </row>
    <row r="186" spans="1:4" ht="24.75" hidden="1" customHeight="1">
      <c r="A186" s="55"/>
      <c r="B186" s="56" t="s">
        <v>485</v>
      </c>
      <c r="C186" s="11">
        <v>4376043886</v>
      </c>
      <c r="D186" s="11">
        <v>6448404033</v>
      </c>
    </row>
    <row r="187" spans="1:4" ht="24.75" hidden="1" customHeight="1">
      <c r="A187" s="55"/>
      <c r="B187" s="56" t="s">
        <v>272</v>
      </c>
      <c r="C187" s="11">
        <v>16867881662</v>
      </c>
      <c r="D187" s="11">
        <v>10418902064</v>
      </c>
    </row>
    <row r="188" spans="1:4" ht="24.75" hidden="1" customHeight="1">
      <c r="A188" s="55"/>
      <c r="B188" s="56" t="s">
        <v>273</v>
      </c>
      <c r="C188" s="11">
        <v>9152702096</v>
      </c>
      <c r="D188" s="11">
        <v>2720394387</v>
      </c>
    </row>
    <row r="189" spans="1:4" ht="24.75" hidden="1" customHeight="1">
      <c r="A189" s="55"/>
      <c r="B189" s="56" t="s">
        <v>274</v>
      </c>
      <c r="C189" s="11">
        <v>1200466281</v>
      </c>
      <c r="D189" s="11">
        <v>803396692</v>
      </c>
    </row>
    <row r="190" spans="1:4" ht="24.75" hidden="1" customHeight="1">
      <c r="A190" s="74"/>
      <c r="B190" s="16" t="s">
        <v>276</v>
      </c>
      <c r="C190" s="60">
        <f>SUM(C184:C189)</f>
        <v>48078868056</v>
      </c>
      <c r="D190" s="60">
        <f>SUM(D184:D189)</f>
        <v>41884130197</v>
      </c>
    </row>
    <row r="191" spans="1:4" ht="28.5" hidden="1" customHeight="1">
      <c r="A191" s="76" t="s">
        <v>43</v>
      </c>
      <c r="B191" s="33"/>
      <c r="C191" s="120"/>
      <c r="D191" s="130"/>
    </row>
    <row r="192" spans="1:4" ht="25.5" hidden="1" customHeight="1">
      <c r="A192" s="420" t="s">
        <v>44</v>
      </c>
      <c r="B192" s="421"/>
      <c r="C192" s="421"/>
      <c r="D192" s="421"/>
    </row>
    <row r="193" spans="1:8" ht="22.5" hidden="1" customHeight="1">
      <c r="A193" s="65"/>
      <c r="B193" s="78"/>
      <c r="C193" s="78"/>
      <c r="D193" s="78"/>
      <c r="E193" s="7"/>
    </row>
    <row r="194" spans="1:8" ht="27.75" hidden="1" customHeight="1">
      <c r="A194" s="68" t="s">
        <v>277</v>
      </c>
      <c r="B194" s="71"/>
      <c r="C194" s="16" t="str">
        <f>C183</f>
        <v>Sè cuèi kú</v>
      </c>
      <c r="D194" s="16" t="str">
        <f>D183</f>
        <v>Sè ®Çu n¨m</v>
      </c>
      <c r="E194" s="1"/>
    </row>
    <row r="195" spans="1:8" ht="26.25" hidden="1" customHeight="1">
      <c r="A195" s="207"/>
      <c r="B195" s="237" t="s">
        <v>609</v>
      </c>
      <c r="C195" s="238">
        <v>0</v>
      </c>
      <c r="D195" s="238">
        <v>110088483</v>
      </c>
      <c r="E195" s="1"/>
    </row>
    <row r="196" spans="1:8" ht="28.5" hidden="1" customHeight="1">
      <c r="A196" s="209"/>
      <c r="B196" s="16" t="s">
        <v>266</v>
      </c>
      <c r="C196" s="75">
        <f>SUM(C195:C195)</f>
        <v>0</v>
      </c>
      <c r="D196" s="75">
        <f>SUM(D195:D195)</f>
        <v>110088483</v>
      </c>
    </row>
    <row r="197" spans="1:8" ht="28.5" hidden="1" customHeight="1">
      <c r="A197" s="45"/>
      <c r="B197" s="23"/>
      <c r="C197" s="7"/>
      <c r="D197" s="7"/>
    </row>
    <row r="198" spans="1:8" ht="24.75" hidden="1" customHeight="1">
      <c r="A198" s="68" t="s">
        <v>393</v>
      </c>
      <c r="B198" s="71"/>
      <c r="C198" s="16" t="str">
        <f>C194</f>
        <v>Sè cuèi kú</v>
      </c>
      <c r="D198" s="16" t="str">
        <f>D194</f>
        <v>Sè ®Çu n¨m</v>
      </c>
    </row>
    <row r="199" spans="1:8" ht="25.5" hidden="1" customHeight="1">
      <c r="A199" s="207"/>
      <c r="B199" s="54" t="s">
        <v>431</v>
      </c>
      <c r="C199" s="11">
        <v>16000000</v>
      </c>
      <c r="D199" s="11">
        <v>1835446600</v>
      </c>
    </row>
    <row r="200" spans="1:8" ht="24" hidden="1" customHeight="1">
      <c r="A200" s="206"/>
      <c r="B200" s="64" t="s">
        <v>432</v>
      </c>
      <c r="C200" s="14">
        <v>1142298303</v>
      </c>
      <c r="D200" s="14">
        <v>1123210603</v>
      </c>
    </row>
    <row r="201" spans="1:8" ht="22.5" hidden="1" customHeight="1">
      <c r="A201" s="209"/>
      <c r="B201" s="16" t="s">
        <v>266</v>
      </c>
      <c r="C201" s="75">
        <f>SUM(C199:C200)</f>
        <v>1158298303</v>
      </c>
      <c r="D201" s="75">
        <f>SUM(D199:D200)</f>
        <v>2958657203</v>
      </c>
    </row>
    <row r="202" spans="1:8" ht="9.75" hidden="1" customHeight="1">
      <c r="A202" s="45"/>
      <c r="B202" s="23"/>
      <c r="C202" s="7"/>
      <c r="D202" s="7"/>
    </row>
    <row r="203" spans="1:8" ht="18" hidden="1" customHeight="1">
      <c r="A203" s="45" t="s">
        <v>395</v>
      </c>
      <c r="B203" s="23"/>
      <c r="C203" s="7"/>
      <c r="D203" s="7"/>
    </row>
    <row r="204" spans="1:8" ht="27.75" hidden="1" customHeight="1">
      <c r="A204" s="80" t="s">
        <v>394</v>
      </c>
      <c r="B204" s="80"/>
      <c r="C204" s="23"/>
      <c r="D204" s="23"/>
      <c r="E204" s="1"/>
    </row>
    <row r="205" spans="1:8" ht="24" hidden="1" customHeight="1">
      <c r="A205" s="39" t="s">
        <v>396</v>
      </c>
    </row>
    <row r="206" spans="1:8" ht="12.75" hidden="1" customHeight="1">
      <c r="A206" s="39"/>
    </row>
    <row r="207" spans="1:8" ht="15.75" hidden="1">
      <c r="A207" s="81"/>
      <c r="B207" s="82"/>
      <c r="C207" s="82" t="s">
        <v>278</v>
      </c>
      <c r="D207" s="82" t="s">
        <v>279</v>
      </c>
      <c r="E207" s="82" t="s">
        <v>280</v>
      </c>
      <c r="F207" s="82" t="s">
        <v>281</v>
      </c>
      <c r="G207" s="82" t="s">
        <v>282</v>
      </c>
      <c r="H207" s="82"/>
    </row>
    <row r="208" spans="1:8" ht="15.75" hidden="1">
      <c r="A208" s="83" t="s">
        <v>283</v>
      </c>
      <c r="B208" s="83" t="s">
        <v>284</v>
      </c>
      <c r="C208" s="83" t="s">
        <v>605</v>
      </c>
      <c r="D208" s="83" t="s">
        <v>285</v>
      </c>
      <c r="E208" s="83" t="s">
        <v>574</v>
      </c>
      <c r="F208" s="83" t="s">
        <v>286</v>
      </c>
      <c r="G208" s="83" t="s">
        <v>287</v>
      </c>
      <c r="H208" s="83" t="s">
        <v>89</v>
      </c>
    </row>
    <row r="209" spans="1:10" ht="15.75" hidden="1">
      <c r="A209" s="84"/>
      <c r="B209" s="85"/>
      <c r="C209" s="18" t="s">
        <v>606</v>
      </c>
      <c r="D209" s="18" t="s">
        <v>288</v>
      </c>
      <c r="E209" s="18" t="s">
        <v>575</v>
      </c>
      <c r="F209" s="85"/>
      <c r="G209" s="85"/>
      <c r="H209" s="85"/>
    </row>
    <row r="210" spans="1:10" ht="21" hidden="1" customHeight="1">
      <c r="A210" s="86" t="s">
        <v>289</v>
      </c>
      <c r="B210" s="87"/>
      <c r="C210" s="87"/>
      <c r="D210" s="87"/>
      <c r="E210" s="87"/>
      <c r="F210" s="87"/>
      <c r="G210" s="87"/>
      <c r="H210" s="87"/>
    </row>
    <row r="211" spans="1:10" ht="22.5" hidden="1" customHeight="1">
      <c r="A211" s="20" t="s">
        <v>290</v>
      </c>
      <c r="B211" s="27">
        <v>56818785362</v>
      </c>
      <c r="C211" s="27">
        <v>25109789354</v>
      </c>
      <c r="D211" s="27">
        <v>10966752113</v>
      </c>
      <c r="E211" s="27">
        <v>983408236</v>
      </c>
      <c r="F211" s="27">
        <v>0</v>
      </c>
      <c r="G211" s="27">
        <f>SUM(B211:F211)</f>
        <v>93878735065</v>
      </c>
      <c r="H211" s="27"/>
    </row>
    <row r="212" spans="1:10" ht="22.5" hidden="1" customHeight="1">
      <c r="A212" s="88" t="s">
        <v>291</v>
      </c>
      <c r="B212" s="30">
        <v>37666752</v>
      </c>
      <c r="C212" s="30">
        <v>237000000</v>
      </c>
      <c r="D212" s="30"/>
      <c r="E212" s="30">
        <v>132636364</v>
      </c>
      <c r="F212" s="30"/>
      <c r="G212" s="89">
        <f>SUM(B212:F212)</f>
        <v>407303116</v>
      </c>
      <c r="H212" s="28"/>
    </row>
    <row r="213" spans="1:10" ht="22.5" hidden="1" customHeight="1">
      <c r="A213" s="88" t="s">
        <v>292</v>
      </c>
      <c r="B213" s="212"/>
      <c r="C213" s="30">
        <v>7115758122</v>
      </c>
      <c r="D213" s="30">
        <v>323644706</v>
      </c>
      <c r="E213" s="30"/>
      <c r="F213" s="30"/>
      <c r="G213" s="89">
        <f>SUM(B213:F213)</f>
        <v>7439402828</v>
      </c>
      <c r="H213" s="28"/>
    </row>
    <row r="214" spans="1:10" ht="22.5" hidden="1" customHeight="1">
      <c r="A214" s="88" t="s">
        <v>293</v>
      </c>
      <c r="B214" s="30"/>
      <c r="C214" s="30"/>
      <c r="D214" s="30"/>
      <c r="E214" s="30"/>
      <c r="F214" s="30"/>
      <c r="G214" s="89"/>
      <c r="H214" s="28"/>
    </row>
    <row r="215" spans="1:10" ht="22.5" hidden="1" customHeight="1">
      <c r="A215" s="88" t="s">
        <v>294</v>
      </c>
      <c r="B215" s="30"/>
      <c r="C215" s="30"/>
      <c r="D215" s="30"/>
      <c r="E215" s="30"/>
      <c r="F215" s="30"/>
      <c r="G215" s="89"/>
      <c r="H215" s="28"/>
    </row>
    <row r="216" spans="1:10" s="247" customFormat="1" ht="33" hidden="1" customHeight="1">
      <c r="A216" s="383" t="s">
        <v>652</v>
      </c>
      <c r="B216" s="30">
        <v>86929759</v>
      </c>
      <c r="C216" s="30">
        <v>587386549</v>
      </c>
      <c r="D216" s="30">
        <v>102866118</v>
      </c>
      <c r="E216" s="30">
        <v>542124327</v>
      </c>
      <c r="F216" s="30"/>
      <c r="G216" s="235">
        <f>SUM(B216:F216)</f>
        <v>1319306753</v>
      </c>
      <c r="H216" s="107"/>
      <c r="J216" s="279"/>
    </row>
    <row r="217" spans="1:10" ht="21" hidden="1" customHeight="1">
      <c r="A217" s="20" t="s">
        <v>296</v>
      </c>
      <c r="B217" s="27">
        <f t="shared" ref="B217:G217" si="0">SUM(B211:B214)-B215-B216</f>
        <v>56769522355</v>
      </c>
      <c r="C217" s="27">
        <f t="shared" si="0"/>
        <v>31875160927</v>
      </c>
      <c r="D217" s="27">
        <f t="shared" si="0"/>
        <v>11187530701</v>
      </c>
      <c r="E217" s="27">
        <f t="shared" si="0"/>
        <v>573920273</v>
      </c>
      <c r="F217" s="27">
        <f t="shared" si="0"/>
        <v>0</v>
      </c>
      <c r="G217" s="27">
        <f t="shared" si="0"/>
        <v>100406134256</v>
      </c>
      <c r="H217" s="27"/>
    </row>
    <row r="218" spans="1:10" ht="21" hidden="1" customHeight="1">
      <c r="A218" s="90" t="s">
        <v>297</v>
      </c>
      <c r="B218" s="28"/>
      <c r="C218" s="28"/>
      <c r="D218" s="28"/>
      <c r="E218" s="28"/>
      <c r="F218" s="28"/>
      <c r="G218" s="28"/>
      <c r="H218" s="28"/>
    </row>
    <row r="219" spans="1:10" ht="21" hidden="1" customHeight="1">
      <c r="A219" s="20" t="s">
        <v>290</v>
      </c>
      <c r="B219" s="27">
        <v>13849388033</v>
      </c>
      <c r="C219" s="27">
        <v>17132278883</v>
      </c>
      <c r="D219" s="27">
        <v>6590265646</v>
      </c>
      <c r="E219" s="27">
        <v>591929574</v>
      </c>
      <c r="F219" s="27">
        <v>0</v>
      </c>
      <c r="G219" s="27">
        <f>SUM(B219:F219)</f>
        <v>38163862136</v>
      </c>
      <c r="H219" s="27"/>
    </row>
    <row r="220" spans="1:10" ht="19.5" hidden="1" customHeight="1">
      <c r="A220" s="30" t="s">
        <v>298</v>
      </c>
      <c r="B220" s="30">
        <f>904147350-40753041</f>
        <v>863394309</v>
      </c>
      <c r="C220" s="30">
        <v>707446761</v>
      </c>
      <c r="D220" s="30">
        <v>275497462</v>
      </c>
      <c r="E220" s="30">
        <v>46430819</v>
      </c>
      <c r="F220" s="212"/>
      <c r="G220" s="89">
        <f>SUM(B220:F220)</f>
        <v>1892769351</v>
      </c>
      <c r="H220" s="30"/>
    </row>
    <row r="221" spans="1:10" ht="18" hidden="1" customHeight="1">
      <c r="A221" s="30" t="s">
        <v>45</v>
      </c>
      <c r="B221" s="30"/>
      <c r="C221" s="30"/>
      <c r="D221" s="30"/>
      <c r="E221" s="212"/>
      <c r="F221" s="30"/>
      <c r="G221" s="89"/>
      <c r="H221" s="30"/>
    </row>
    <row r="222" spans="1:10" ht="18" hidden="1" customHeight="1">
      <c r="A222" s="30" t="s">
        <v>46</v>
      </c>
      <c r="B222" s="30"/>
      <c r="C222" s="30"/>
      <c r="D222" s="30"/>
      <c r="E222" s="30"/>
      <c r="F222" s="30"/>
      <c r="G222" s="89"/>
      <c r="H222" s="30"/>
    </row>
    <row r="223" spans="1:10" ht="18" hidden="1" customHeight="1">
      <c r="A223" s="30" t="s">
        <v>299</v>
      </c>
      <c r="B223" s="30"/>
      <c r="C223" s="30"/>
      <c r="D223" s="30"/>
      <c r="E223" s="30"/>
      <c r="F223" s="30"/>
      <c r="G223" s="89"/>
      <c r="H223" s="30"/>
    </row>
    <row r="224" spans="1:10" s="247" customFormat="1" ht="36.75" hidden="1" customHeight="1">
      <c r="A224" s="383" t="s">
        <v>652</v>
      </c>
      <c r="B224" s="212">
        <v>67095356</v>
      </c>
      <c r="C224" s="212">
        <v>491769114</v>
      </c>
      <c r="D224" s="212">
        <v>102866118</v>
      </c>
      <c r="E224" s="212">
        <v>410871171</v>
      </c>
      <c r="F224" s="212"/>
      <c r="G224" s="235">
        <f>SUM(B224:F224)</f>
        <v>1072601759</v>
      </c>
      <c r="H224" s="234"/>
      <c r="J224" s="279"/>
    </row>
    <row r="225" spans="1:9" ht="24" hidden="1" customHeight="1">
      <c r="A225" s="20" t="s">
        <v>296</v>
      </c>
      <c r="B225" s="27">
        <f>B219+B220-SUM(B222:B224)</f>
        <v>14645686986</v>
      </c>
      <c r="C225" s="27">
        <f>C219+C220-SUM(C222:C224)</f>
        <v>17347956530</v>
      </c>
      <c r="D225" s="27">
        <f>D219+D220-SUM(D222:D224)</f>
        <v>6762896990</v>
      </c>
      <c r="E225" s="27">
        <f>E219+E220-SUM(E222:E224)</f>
        <v>227489222</v>
      </c>
      <c r="F225" s="27">
        <f>F219+F220-SUM(F222:F224)</f>
        <v>0</v>
      </c>
      <c r="G225" s="27">
        <f>SUM(B225:F225)</f>
        <v>38984029728</v>
      </c>
      <c r="H225" s="27"/>
    </row>
    <row r="226" spans="1:9" ht="23.25" hidden="1" customHeight="1">
      <c r="A226" s="90" t="s">
        <v>300</v>
      </c>
      <c r="B226" s="28"/>
      <c r="C226" s="28"/>
      <c r="D226" s="28"/>
      <c r="E226" s="28"/>
      <c r="F226" s="28"/>
      <c r="G226" s="28"/>
      <c r="H226" s="28"/>
    </row>
    <row r="227" spans="1:9" ht="23.25" hidden="1" customHeight="1">
      <c r="A227" s="27" t="s">
        <v>301</v>
      </c>
      <c r="B227" s="90">
        <f t="shared" ref="B227:G227" si="1">B211-B219</f>
        <v>42969397329</v>
      </c>
      <c r="C227" s="90">
        <f t="shared" si="1"/>
        <v>7977510471</v>
      </c>
      <c r="D227" s="90">
        <f t="shared" si="1"/>
        <v>4376486467</v>
      </c>
      <c r="E227" s="90">
        <f t="shared" si="1"/>
        <v>391478662</v>
      </c>
      <c r="F227" s="90">
        <f t="shared" si="1"/>
        <v>0</v>
      </c>
      <c r="G227" s="90">
        <f t="shared" si="1"/>
        <v>55714872929</v>
      </c>
      <c r="H227" s="27"/>
    </row>
    <row r="228" spans="1:9" ht="23.25" hidden="1" customHeight="1">
      <c r="A228" s="27" t="s">
        <v>302</v>
      </c>
      <c r="B228" s="90">
        <f t="shared" ref="B228:G228" si="2">B217-B225</f>
        <v>42123835369</v>
      </c>
      <c r="C228" s="90">
        <f t="shared" si="2"/>
        <v>14527204397</v>
      </c>
      <c r="D228" s="90">
        <f t="shared" si="2"/>
        <v>4424633711</v>
      </c>
      <c r="E228" s="90">
        <f t="shared" si="2"/>
        <v>346431051</v>
      </c>
      <c r="F228" s="90">
        <f t="shared" si="2"/>
        <v>0</v>
      </c>
      <c r="G228" s="90">
        <f t="shared" si="2"/>
        <v>61422104528</v>
      </c>
      <c r="H228" s="27"/>
    </row>
    <row r="229" spans="1:9" ht="33.75" hidden="1" customHeight="1">
      <c r="A229" s="379" t="s">
        <v>422</v>
      </c>
      <c r="B229" s="79">
        <v>4447354553</v>
      </c>
      <c r="C229" s="79">
        <v>14107379663</v>
      </c>
      <c r="D229" s="79">
        <v>4493913472</v>
      </c>
      <c r="E229" s="79">
        <v>95236364</v>
      </c>
      <c r="F229" s="79">
        <v>0</v>
      </c>
      <c r="G229" s="79">
        <f>SUM(B229:F229)</f>
        <v>23143884052</v>
      </c>
      <c r="H229" s="380"/>
    </row>
    <row r="230" spans="1:9" ht="22.5" hidden="1" customHeight="1">
      <c r="A230" s="346" t="s">
        <v>303</v>
      </c>
      <c r="B230" s="63"/>
      <c r="C230" s="63"/>
      <c r="D230" s="63"/>
      <c r="E230" s="63"/>
      <c r="F230" s="63"/>
      <c r="G230" s="63"/>
      <c r="H230" s="87"/>
    </row>
    <row r="231" spans="1:9" ht="22.5" hidden="1" customHeight="1">
      <c r="A231" s="79" t="s">
        <v>419</v>
      </c>
      <c r="B231" s="55"/>
      <c r="C231" s="55"/>
      <c r="D231" s="55"/>
      <c r="E231" s="55"/>
      <c r="F231" s="55"/>
      <c r="G231" s="55"/>
      <c r="H231" s="28"/>
    </row>
    <row r="232" spans="1:9" ht="22.5" hidden="1" customHeight="1">
      <c r="A232" s="142" t="s">
        <v>304</v>
      </c>
      <c r="B232" s="65"/>
      <c r="C232" s="32"/>
      <c r="D232" s="65"/>
      <c r="E232" s="65"/>
      <c r="F232" s="65"/>
      <c r="G232" s="65"/>
      <c r="H232" s="32"/>
    </row>
    <row r="233" spans="1:9" ht="21.75" hidden="1" customHeight="1">
      <c r="A233" s="39" t="s">
        <v>397</v>
      </c>
      <c r="C233" s="204"/>
    </row>
    <row r="234" spans="1:9" ht="27.75" hidden="1" customHeight="1">
      <c r="A234" s="39" t="s">
        <v>398</v>
      </c>
      <c r="B234" s="6"/>
    </row>
    <row r="235" spans="1:9" ht="12" hidden="1" customHeight="1">
      <c r="A235" s="6"/>
      <c r="B235" s="6"/>
    </row>
    <row r="236" spans="1:9" ht="15.75" hidden="1">
      <c r="A236" s="81"/>
      <c r="B236" s="82" t="s">
        <v>305</v>
      </c>
      <c r="C236" s="82" t="s">
        <v>306</v>
      </c>
      <c r="D236" s="82" t="s">
        <v>307</v>
      </c>
      <c r="E236" s="82" t="s">
        <v>576</v>
      </c>
      <c r="F236" s="82" t="s">
        <v>281</v>
      </c>
      <c r="G236" s="82"/>
      <c r="H236" s="82"/>
      <c r="I236" s="7"/>
    </row>
    <row r="237" spans="1:9" ht="15.75" hidden="1">
      <c r="A237" s="83" t="s">
        <v>308</v>
      </c>
      <c r="B237" s="83" t="s">
        <v>309</v>
      </c>
      <c r="C237" s="83" t="s">
        <v>310</v>
      </c>
      <c r="D237" s="83" t="s">
        <v>311</v>
      </c>
      <c r="E237" s="83" t="s">
        <v>577</v>
      </c>
      <c r="F237" s="83" t="s">
        <v>312</v>
      </c>
      <c r="G237" s="83" t="s">
        <v>313</v>
      </c>
      <c r="H237" s="83" t="s">
        <v>89</v>
      </c>
      <c r="I237" s="7"/>
    </row>
    <row r="238" spans="1:9" ht="15.75" hidden="1">
      <c r="A238" s="84"/>
      <c r="B238" s="18" t="s">
        <v>314</v>
      </c>
      <c r="C238" s="18" t="s">
        <v>315</v>
      </c>
      <c r="D238" s="18" t="s">
        <v>316</v>
      </c>
      <c r="E238" s="18" t="s">
        <v>578</v>
      </c>
      <c r="F238" s="18" t="s">
        <v>286</v>
      </c>
      <c r="G238" s="85"/>
      <c r="H238" s="85"/>
      <c r="I238" s="7"/>
    </row>
    <row r="239" spans="1:9" ht="24" hidden="1" customHeight="1">
      <c r="A239" s="86" t="s">
        <v>317</v>
      </c>
      <c r="B239" s="92"/>
      <c r="C239" s="87"/>
      <c r="D239" s="87"/>
      <c r="E239" s="87"/>
      <c r="F239" s="87"/>
      <c r="G239" s="87"/>
      <c r="H239" s="87"/>
      <c r="I239" s="7"/>
    </row>
    <row r="240" spans="1:9" ht="24" hidden="1" customHeight="1">
      <c r="A240" s="20" t="s">
        <v>290</v>
      </c>
      <c r="B240" s="93">
        <v>3038689253</v>
      </c>
      <c r="C240" s="27">
        <v>0</v>
      </c>
      <c r="D240" s="27">
        <v>0</v>
      </c>
      <c r="E240" s="27">
        <v>0</v>
      </c>
      <c r="F240" s="27">
        <v>0</v>
      </c>
      <c r="G240" s="27">
        <f>SUM(B240:F240)</f>
        <v>3038689253</v>
      </c>
      <c r="H240" s="27"/>
      <c r="I240" s="7"/>
    </row>
    <row r="241" spans="1:9" ht="21.75" hidden="1" customHeight="1">
      <c r="A241" s="88" t="s">
        <v>291</v>
      </c>
      <c r="B241" s="30"/>
      <c r="C241" s="30"/>
      <c r="D241" s="30"/>
      <c r="E241" s="30"/>
      <c r="F241" s="30"/>
      <c r="G241" s="89">
        <f>SUM(B241:F241)</f>
        <v>0</v>
      </c>
      <c r="H241" s="89"/>
      <c r="I241" s="7"/>
    </row>
    <row r="242" spans="1:9" ht="21.75" hidden="1" customHeight="1">
      <c r="A242" s="88" t="s">
        <v>318</v>
      </c>
      <c r="B242" s="30"/>
      <c r="C242" s="30"/>
      <c r="D242" s="30"/>
      <c r="E242" s="30"/>
      <c r="F242" s="30"/>
      <c r="G242" s="89">
        <f>SUM(B242:F242)</f>
        <v>0</v>
      </c>
      <c r="H242" s="89"/>
      <c r="I242" s="7"/>
    </row>
    <row r="243" spans="1:9" ht="21.75" hidden="1" customHeight="1">
      <c r="A243" s="88" t="s">
        <v>319</v>
      </c>
      <c r="B243" s="30"/>
      <c r="C243" s="30"/>
      <c r="D243" s="30"/>
      <c r="E243" s="30"/>
      <c r="F243" s="30"/>
      <c r="G243" s="89">
        <f>SUM(B243:F243)</f>
        <v>0</v>
      </c>
      <c r="H243" s="89"/>
      <c r="I243" s="7"/>
    </row>
    <row r="244" spans="1:9" ht="21.75" hidden="1" customHeight="1">
      <c r="A244" s="88" t="s">
        <v>294</v>
      </c>
      <c r="B244" s="30"/>
      <c r="C244" s="30"/>
      <c r="D244" s="30"/>
      <c r="E244" s="30"/>
      <c r="F244" s="30"/>
      <c r="G244" s="89">
        <f>SUM(B244:F244)</f>
        <v>0</v>
      </c>
      <c r="H244" s="89"/>
      <c r="I244" s="7"/>
    </row>
    <row r="245" spans="1:9" ht="24" hidden="1" customHeight="1">
      <c r="A245" s="20" t="s">
        <v>296</v>
      </c>
      <c r="B245" s="93">
        <f t="shared" ref="B245:G245" si="3">SUM(B240:B244)</f>
        <v>3038689253</v>
      </c>
      <c r="C245" s="93">
        <f t="shared" si="3"/>
        <v>0</v>
      </c>
      <c r="D245" s="93">
        <f t="shared" si="3"/>
        <v>0</v>
      </c>
      <c r="E245" s="93">
        <f t="shared" si="3"/>
        <v>0</v>
      </c>
      <c r="F245" s="93">
        <f t="shared" si="3"/>
        <v>0</v>
      </c>
      <c r="G245" s="93">
        <f t="shared" si="3"/>
        <v>3038689253</v>
      </c>
      <c r="H245" s="93"/>
      <c r="I245" s="7"/>
    </row>
    <row r="246" spans="1:9" ht="24" hidden="1" customHeight="1">
      <c r="A246" s="90" t="s">
        <v>297</v>
      </c>
      <c r="B246" s="27"/>
      <c r="C246" s="28"/>
      <c r="D246" s="28"/>
      <c r="E246" s="28"/>
      <c r="F246" s="28"/>
      <c r="G246" s="28"/>
      <c r="H246" s="28"/>
      <c r="I246" s="7"/>
    </row>
    <row r="247" spans="1:9" ht="24" hidden="1" customHeight="1">
      <c r="A247" s="20" t="s">
        <v>290</v>
      </c>
      <c r="B247" s="27">
        <v>873629916</v>
      </c>
      <c r="C247" s="27">
        <v>0</v>
      </c>
      <c r="D247" s="27">
        <v>0</v>
      </c>
      <c r="E247" s="27">
        <v>0</v>
      </c>
      <c r="F247" s="27">
        <v>0</v>
      </c>
      <c r="G247" s="27">
        <f>SUM(B247:F247)</f>
        <v>873629916</v>
      </c>
      <c r="H247" s="27"/>
      <c r="I247" s="7"/>
    </row>
    <row r="248" spans="1:9" ht="24" hidden="1" customHeight="1">
      <c r="A248" s="88" t="s">
        <v>320</v>
      </c>
      <c r="B248" s="30">
        <v>40753041</v>
      </c>
      <c r="C248" s="28"/>
      <c r="D248" s="28"/>
      <c r="E248" s="28"/>
      <c r="F248" s="28"/>
      <c r="G248" s="89">
        <f t="shared" ref="G248:G254" si="4">SUM(B248:F248)</f>
        <v>40753041</v>
      </c>
      <c r="H248" s="89"/>
      <c r="I248" s="7"/>
    </row>
    <row r="249" spans="1:9" ht="24" hidden="1" customHeight="1">
      <c r="A249" s="88" t="s">
        <v>294</v>
      </c>
      <c r="B249" s="28"/>
      <c r="C249" s="28"/>
      <c r="D249" s="28"/>
      <c r="E249" s="28"/>
      <c r="F249" s="28"/>
      <c r="G249" s="89">
        <f t="shared" si="4"/>
        <v>0</v>
      </c>
      <c r="H249" s="89"/>
      <c r="I249" s="7"/>
    </row>
    <row r="250" spans="1:9" ht="24" hidden="1" customHeight="1">
      <c r="A250" s="88" t="s">
        <v>295</v>
      </c>
      <c r="B250" s="28"/>
      <c r="C250" s="28"/>
      <c r="D250" s="28"/>
      <c r="E250" s="28"/>
      <c r="F250" s="28"/>
      <c r="G250" s="89">
        <f t="shared" si="4"/>
        <v>0</v>
      </c>
      <c r="H250" s="89"/>
      <c r="I250" s="7"/>
    </row>
    <row r="251" spans="1:9" ht="24" hidden="1" customHeight="1">
      <c r="A251" s="20" t="s">
        <v>296</v>
      </c>
      <c r="B251" s="93">
        <f>B247+B248-B249-B250</f>
        <v>914382957</v>
      </c>
      <c r="C251" s="93">
        <f>C247+C248-C249-C250</f>
        <v>0</v>
      </c>
      <c r="D251" s="93">
        <f>D247+D248-D249-D250</f>
        <v>0</v>
      </c>
      <c r="E251" s="93">
        <f>E247+E248-E249-E250</f>
        <v>0</v>
      </c>
      <c r="F251" s="93">
        <f>F247+F248-F249-F250</f>
        <v>0</v>
      </c>
      <c r="G251" s="27">
        <f t="shared" si="4"/>
        <v>914382957</v>
      </c>
      <c r="H251" s="27"/>
      <c r="I251" s="7"/>
    </row>
    <row r="252" spans="1:9" ht="24" hidden="1" customHeight="1">
      <c r="A252" s="90" t="s">
        <v>321</v>
      </c>
      <c r="B252" s="27"/>
      <c r="C252" s="28"/>
      <c r="D252" s="28"/>
      <c r="E252" s="28"/>
      <c r="F252" s="28"/>
      <c r="G252" s="28"/>
      <c r="H252" s="28"/>
      <c r="I252" s="7"/>
    </row>
    <row r="253" spans="1:9" ht="26.25" hidden="1" customHeight="1">
      <c r="A253" s="94" t="s">
        <v>322</v>
      </c>
      <c r="B253" s="27">
        <f>B240-B247</f>
        <v>2165059337</v>
      </c>
      <c r="C253" s="27">
        <f>C240-C247</f>
        <v>0</v>
      </c>
      <c r="D253" s="27">
        <f>D240-D247</f>
        <v>0</v>
      </c>
      <c r="E253" s="27">
        <f>E240-E247</f>
        <v>0</v>
      </c>
      <c r="F253" s="27">
        <f>F240-F247</f>
        <v>0</v>
      </c>
      <c r="G253" s="27">
        <f t="shared" si="4"/>
        <v>2165059337</v>
      </c>
      <c r="H253" s="27"/>
    </row>
    <row r="254" spans="1:9" ht="26.25" hidden="1" customHeight="1">
      <c r="A254" s="95" t="s">
        <v>323</v>
      </c>
      <c r="B254" s="91">
        <f>B245-B251</f>
        <v>2124306296</v>
      </c>
      <c r="C254" s="91">
        <f>C245-C251</f>
        <v>0</v>
      </c>
      <c r="D254" s="91">
        <f>D245-D251</f>
        <v>0</v>
      </c>
      <c r="E254" s="91">
        <f>E245-E251</f>
        <v>0</v>
      </c>
      <c r="F254" s="91">
        <f>F245-F251</f>
        <v>0</v>
      </c>
      <c r="G254" s="91">
        <f t="shared" si="4"/>
        <v>2124306296</v>
      </c>
      <c r="H254" s="91"/>
    </row>
    <row r="255" spans="1:9" ht="10.5" hidden="1" customHeight="1">
      <c r="A255" s="96"/>
      <c r="B255" s="24"/>
      <c r="C255" s="24"/>
      <c r="D255" s="24"/>
      <c r="E255" s="24"/>
      <c r="F255" s="24"/>
      <c r="G255" s="24"/>
      <c r="H255" s="24"/>
    </row>
    <row r="256" spans="1:9" ht="23.25" hidden="1" customHeight="1">
      <c r="A256" s="24" t="s">
        <v>491</v>
      </c>
      <c r="B256" s="24"/>
      <c r="C256" s="24"/>
      <c r="D256" s="24"/>
      <c r="E256" s="24"/>
      <c r="F256" s="24"/>
      <c r="G256" s="24"/>
      <c r="H256" s="24"/>
    </row>
    <row r="257" spans="1:8" ht="11.25" hidden="1" customHeight="1">
      <c r="A257" s="24"/>
      <c r="B257" s="24"/>
      <c r="C257" s="24"/>
      <c r="D257" s="24"/>
      <c r="E257" s="24"/>
      <c r="F257" s="24"/>
      <c r="G257" s="24"/>
      <c r="H257" s="24"/>
    </row>
    <row r="258" spans="1:8" ht="23.25" hidden="1" customHeight="1">
      <c r="A258" s="97"/>
      <c r="B258" s="58" t="s">
        <v>324</v>
      </c>
      <c r="C258" s="15" t="s">
        <v>160</v>
      </c>
      <c r="D258" s="16" t="s">
        <v>95</v>
      </c>
      <c r="E258" s="24"/>
      <c r="F258" s="24"/>
      <c r="G258" s="24"/>
      <c r="H258" s="24"/>
    </row>
    <row r="259" spans="1:8" ht="24" hidden="1" customHeight="1">
      <c r="A259" s="22"/>
      <c r="B259" s="208" t="s">
        <v>584</v>
      </c>
      <c r="C259" s="11">
        <v>0</v>
      </c>
      <c r="D259" s="11">
        <v>6514894484</v>
      </c>
    </row>
    <row r="260" spans="1:8" ht="24" hidden="1" customHeight="1">
      <c r="A260" s="22"/>
      <c r="B260" s="208" t="s">
        <v>565</v>
      </c>
      <c r="C260" s="11">
        <v>0</v>
      </c>
      <c r="D260" s="11">
        <f>89000000+46615858</f>
        <v>135615858</v>
      </c>
    </row>
    <row r="261" spans="1:8" ht="24" hidden="1" customHeight="1">
      <c r="A261" s="22"/>
      <c r="B261" s="208" t="s">
        <v>566</v>
      </c>
      <c r="C261" s="11">
        <v>0</v>
      </c>
      <c r="D261" s="11">
        <f>68000000+46615858</f>
        <v>114615858</v>
      </c>
    </row>
    <row r="262" spans="1:8" ht="24" hidden="1" customHeight="1">
      <c r="A262" s="22"/>
      <c r="B262" s="208" t="s">
        <v>582</v>
      </c>
      <c r="C262" s="11">
        <v>0</v>
      </c>
      <c r="D262" s="11">
        <v>73412990</v>
      </c>
    </row>
    <row r="263" spans="1:8" ht="24" hidden="1" customHeight="1">
      <c r="A263" s="22"/>
      <c r="B263" s="208" t="s">
        <v>585</v>
      </c>
      <c r="C263" s="11">
        <v>23679000</v>
      </c>
      <c r="D263" s="11">
        <v>23679000</v>
      </c>
    </row>
    <row r="264" spans="1:8" ht="24" hidden="1" customHeight="1">
      <c r="A264" s="22"/>
      <c r="B264" s="208" t="s">
        <v>567</v>
      </c>
      <c r="C264" s="29">
        <v>9480000</v>
      </c>
      <c r="D264" s="381">
        <v>9480000</v>
      </c>
    </row>
    <row r="265" spans="1:8" ht="24" hidden="1" customHeight="1">
      <c r="A265" s="22"/>
      <c r="B265" s="208" t="s">
        <v>586</v>
      </c>
      <c r="C265" s="29">
        <v>78313791</v>
      </c>
      <c r="D265" s="29">
        <v>76675191</v>
      </c>
    </row>
    <row r="266" spans="1:8" ht="24" hidden="1" customHeight="1">
      <c r="A266" s="22"/>
      <c r="B266" s="208" t="s">
        <v>587</v>
      </c>
      <c r="C266" s="29">
        <v>178000000</v>
      </c>
      <c r="D266" s="381">
        <v>178000000</v>
      </c>
    </row>
    <row r="267" spans="1:8" ht="24" hidden="1" customHeight="1">
      <c r="A267" s="22"/>
      <c r="B267" s="208" t="s">
        <v>583</v>
      </c>
      <c r="C267" s="29">
        <v>33667000</v>
      </c>
      <c r="D267" s="29">
        <v>33667000</v>
      </c>
    </row>
    <row r="268" spans="1:8" ht="24" hidden="1" customHeight="1">
      <c r="A268" s="22"/>
      <c r="B268" s="208" t="s">
        <v>588</v>
      </c>
      <c r="C268" s="29">
        <v>54047514</v>
      </c>
      <c r="D268" s="29">
        <v>54047514</v>
      </c>
    </row>
    <row r="269" spans="1:8" ht="24" hidden="1" customHeight="1">
      <c r="A269" s="22"/>
      <c r="B269" s="208" t="s">
        <v>607</v>
      </c>
      <c r="C269" s="29">
        <v>84651245</v>
      </c>
      <c r="D269" s="29">
        <v>0</v>
      </c>
    </row>
    <row r="270" spans="1:8" ht="24" hidden="1" customHeight="1">
      <c r="A270" s="388">
        <v>2413</v>
      </c>
      <c r="B270" s="389" t="s">
        <v>653</v>
      </c>
      <c r="C270" s="387">
        <v>46535000</v>
      </c>
      <c r="D270" s="387"/>
    </row>
    <row r="271" spans="1:8" ht="22.5" hidden="1" customHeight="1">
      <c r="A271" s="74"/>
      <c r="B271" s="16" t="s">
        <v>266</v>
      </c>
      <c r="C271" s="52">
        <f>SUM(C259:C270)</f>
        <v>508373550</v>
      </c>
      <c r="D271" s="52">
        <f>SUM(D259:D269)</f>
        <v>7214087895</v>
      </c>
    </row>
    <row r="272" spans="1:8" ht="24.75" hidden="1" customHeight="1">
      <c r="A272" s="80" t="s">
        <v>492</v>
      </c>
      <c r="B272" s="7"/>
      <c r="C272" s="23"/>
      <c r="D272" s="23"/>
    </row>
    <row r="273" spans="1:4" ht="11.25" hidden="1" customHeight="1">
      <c r="A273" s="80"/>
      <c r="B273" s="7"/>
      <c r="C273" s="23"/>
      <c r="D273" s="23"/>
    </row>
    <row r="274" spans="1:4" ht="25.5" hidden="1" customHeight="1">
      <c r="A274" s="68" t="s">
        <v>493</v>
      </c>
      <c r="B274" s="205"/>
      <c r="C274" s="15" t="s">
        <v>160</v>
      </c>
      <c r="D274" s="16" t="s">
        <v>95</v>
      </c>
    </row>
    <row r="275" spans="1:4" ht="27" hidden="1" customHeight="1">
      <c r="A275" s="22"/>
      <c r="B275" s="208" t="s">
        <v>518</v>
      </c>
      <c r="C275" s="11">
        <v>62982863.375</v>
      </c>
      <c r="D275" s="11">
        <v>94562014</v>
      </c>
    </row>
    <row r="276" spans="1:4" ht="23.25" hidden="1" customHeight="1">
      <c r="A276" s="22"/>
      <c r="B276" s="208" t="s">
        <v>519</v>
      </c>
      <c r="C276" s="11">
        <v>263024098.84305555</v>
      </c>
      <c r="D276" s="11">
        <v>394902477</v>
      </c>
    </row>
    <row r="277" spans="1:4" ht="23.25" hidden="1" customHeight="1">
      <c r="A277" s="22"/>
      <c r="B277" s="208" t="s">
        <v>520</v>
      </c>
      <c r="C277" s="11">
        <v>74022278.309722215</v>
      </c>
      <c r="D277" s="11">
        <v>111136512</v>
      </c>
    </row>
    <row r="278" spans="1:4" ht="23.25" hidden="1" customHeight="1">
      <c r="A278" s="22"/>
      <c r="B278" s="208" t="s">
        <v>643</v>
      </c>
      <c r="C278" s="11">
        <v>246704994</v>
      </c>
      <c r="D278" s="11">
        <v>0</v>
      </c>
    </row>
    <row r="279" spans="1:4" ht="23.25" hidden="1" customHeight="1">
      <c r="A279" s="22"/>
      <c r="B279" s="208" t="s">
        <v>433</v>
      </c>
      <c r="C279" s="11">
        <v>842535213</v>
      </c>
      <c r="D279" s="11">
        <v>1117649146</v>
      </c>
    </row>
    <row r="280" spans="1:4" ht="22.5" hidden="1" customHeight="1">
      <c r="A280" s="74"/>
      <c r="B280" s="16" t="s">
        <v>266</v>
      </c>
      <c r="C280" s="60">
        <f>SUM(C275:C279)</f>
        <v>1489269447.5277777</v>
      </c>
      <c r="D280" s="60">
        <f>SUM(D275:D279)</f>
        <v>1718250149</v>
      </c>
    </row>
    <row r="281" spans="1:4" ht="20.25" hidden="1" customHeight="1">
      <c r="A281" s="241"/>
      <c r="B281" s="58"/>
      <c r="C281" s="242"/>
      <c r="D281" s="242"/>
    </row>
    <row r="282" spans="1:4" ht="24" hidden="1" customHeight="1">
      <c r="A282" s="68" t="s">
        <v>494</v>
      </c>
      <c r="B282" s="7"/>
      <c r="C282" s="101" t="str">
        <f>C291</f>
        <v>Sè cuèi kú</v>
      </c>
      <c r="D282" s="101" t="str">
        <f>D291</f>
        <v>Sè ®Çu n¨m</v>
      </c>
    </row>
    <row r="283" spans="1:4" ht="24.75" hidden="1" customHeight="1">
      <c r="A283" s="207"/>
      <c r="B283" s="237" t="s">
        <v>434</v>
      </c>
      <c r="C283" s="112">
        <v>11014277368</v>
      </c>
      <c r="D283" s="112">
        <v>12794210980</v>
      </c>
    </row>
    <row r="284" spans="1:4" ht="24.75" hidden="1" customHeight="1">
      <c r="A284" s="354"/>
      <c r="B284" s="31" t="s">
        <v>624</v>
      </c>
      <c r="C284" s="87">
        <v>2876363849</v>
      </c>
      <c r="D284" s="87">
        <v>0</v>
      </c>
    </row>
    <row r="285" spans="1:4" ht="24.75" hidden="1" customHeight="1">
      <c r="A285" s="354"/>
      <c r="B285" s="64" t="s">
        <v>619</v>
      </c>
      <c r="C285" s="87">
        <v>0</v>
      </c>
      <c r="D285" s="87">
        <v>4938000000</v>
      </c>
    </row>
    <row r="286" spans="1:4" ht="24.75" hidden="1" customHeight="1">
      <c r="A286" s="22"/>
      <c r="B286" s="31" t="s">
        <v>516</v>
      </c>
      <c r="C286" s="28">
        <v>10000000000</v>
      </c>
      <c r="D286" s="28">
        <v>10000000000</v>
      </c>
    </row>
    <row r="287" spans="1:4" ht="24.75" hidden="1" customHeight="1">
      <c r="A287" s="355"/>
      <c r="B287" s="31" t="s">
        <v>620</v>
      </c>
      <c r="C287" s="28">
        <v>10000000000</v>
      </c>
      <c r="D287" s="28">
        <v>0</v>
      </c>
    </row>
    <row r="288" spans="1:4" ht="24.75" hidden="1" customHeight="1">
      <c r="A288" s="206"/>
      <c r="B288" s="109" t="s">
        <v>625</v>
      </c>
      <c r="C288" s="32">
        <v>1596605256</v>
      </c>
      <c r="D288" s="32">
        <v>0</v>
      </c>
    </row>
    <row r="289" spans="1:6" ht="24.75" hidden="1" customHeight="1">
      <c r="A289" s="74"/>
      <c r="B289" s="16" t="s">
        <v>266</v>
      </c>
      <c r="C289" s="60">
        <f>SUM(C283:C288)</f>
        <v>35487246473</v>
      </c>
      <c r="D289" s="60">
        <f>SUM(D283:D288)</f>
        <v>27732210980</v>
      </c>
      <c r="F289" s="2">
        <v>22794210980</v>
      </c>
    </row>
    <row r="290" spans="1:6" ht="30" hidden="1" customHeight="1">
      <c r="A290" s="7"/>
      <c r="B290" s="23"/>
      <c r="C290" s="24"/>
      <c r="D290" s="24"/>
      <c r="F290" s="2">
        <f>D289-F289</f>
        <v>4938000000</v>
      </c>
    </row>
    <row r="291" spans="1:6" ht="25.5" hidden="1" customHeight="1">
      <c r="A291" s="68" t="s">
        <v>495</v>
      </c>
      <c r="B291" s="69"/>
      <c r="C291" s="16" t="str">
        <f>C258</f>
        <v>Sè cuèi kú</v>
      </c>
      <c r="D291" s="16" t="str">
        <f>D258</f>
        <v>Sè ®Çu n¨m</v>
      </c>
    </row>
    <row r="292" spans="1:6" ht="21.75" hidden="1" customHeight="1">
      <c r="A292" s="63"/>
      <c r="B292" s="64" t="s">
        <v>608</v>
      </c>
      <c r="C292" s="11">
        <v>124063426</v>
      </c>
      <c r="D292" s="11">
        <v>0</v>
      </c>
    </row>
    <row r="293" spans="1:6" ht="21.75" hidden="1" customHeight="1">
      <c r="A293" s="63"/>
      <c r="B293" s="64" t="s">
        <v>486</v>
      </c>
      <c r="C293" s="11">
        <v>31787996</v>
      </c>
      <c r="D293" s="11">
        <v>27933659</v>
      </c>
    </row>
    <row r="294" spans="1:6" ht="21.75" hidden="1" customHeight="1">
      <c r="A294" s="63"/>
      <c r="B294" s="64" t="s">
        <v>589</v>
      </c>
      <c r="C294" s="11">
        <v>2852336</v>
      </c>
      <c r="D294" s="11">
        <v>9086521</v>
      </c>
    </row>
    <row r="295" spans="1:6" ht="21.75" hidden="1" customHeight="1">
      <c r="A295" s="55"/>
      <c r="B295" s="56" t="s">
        <v>0</v>
      </c>
      <c r="C295" s="248">
        <v>900538867</v>
      </c>
      <c r="D295" s="248">
        <v>626879968</v>
      </c>
    </row>
    <row r="296" spans="1:6" ht="21.75" hidden="1" customHeight="1">
      <c r="A296" s="55"/>
      <c r="B296" s="56" t="s">
        <v>1</v>
      </c>
      <c r="C296" s="11">
        <v>37353800</v>
      </c>
      <c r="D296" s="11">
        <v>107992842</v>
      </c>
    </row>
    <row r="297" spans="1:6" ht="21.75" hidden="1" customHeight="1">
      <c r="A297" s="74"/>
      <c r="B297" s="16" t="s">
        <v>266</v>
      </c>
      <c r="C297" s="75">
        <f>SUM(C292:C296)</f>
        <v>1096596425</v>
      </c>
      <c r="D297" s="75">
        <f>SUM(D292:D296)</f>
        <v>771892990</v>
      </c>
    </row>
    <row r="298" spans="1:6" ht="21.75" hidden="1" customHeight="1">
      <c r="A298" s="241"/>
      <c r="B298" s="58"/>
      <c r="C298" s="242"/>
      <c r="D298" s="242"/>
    </row>
    <row r="299" spans="1:6" ht="25.5" hidden="1" customHeight="1">
      <c r="A299" s="68" t="s">
        <v>496</v>
      </c>
      <c r="B299" s="69"/>
      <c r="C299" s="98" t="str">
        <f>C291</f>
        <v>Sè cuèi kú</v>
      </c>
      <c r="D299" s="98" t="str">
        <f>D291</f>
        <v>Sè ®Çu n¨m</v>
      </c>
    </row>
    <row r="300" spans="1:6" ht="19.5" hidden="1" customHeight="1">
      <c r="A300" s="55"/>
      <c r="B300" s="56" t="s">
        <v>412</v>
      </c>
      <c r="C300" s="28">
        <v>3070875500</v>
      </c>
      <c r="D300" s="28">
        <v>3070875500</v>
      </c>
    </row>
    <row r="301" spans="1:6" ht="19.5" hidden="1" customHeight="1">
      <c r="A301" s="55"/>
      <c r="B301" s="56" t="s">
        <v>487</v>
      </c>
      <c r="C301" s="28">
        <v>0</v>
      </c>
      <c r="D301" s="28">
        <v>99806962</v>
      </c>
    </row>
    <row r="302" spans="1:6" ht="19.5" hidden="1" customHeight="1">
      <c r="A302" s="72"/>
      <c r="B302" s="56" t="s">
        <v>591</v>
      </c>
      <c r="C302" s="277">
        <v>0</v>
      </c>
      <c r="D302" s="277">
        <v>60000000</v>
      </c>
    </row>
    <row r="303" spans="1:6" ht="19.5" hidden="1" customHeight="1">
      <c r="A303" s="72"/>
      <c r="B303" s="56" t="s">
        <v>590</v>
      </c>
      <c r="C303" s="277">
        <v>11875000</v>
      </c>
      <c r="D303" s="277">
        <v>6000000</v>
      </c>
    </row>
    <row r="304" spans="1:6" ht="19.5" hidden="1" customHeight="1">
      <c r="A304" s="72"/>
      <c r="B304" s="56" t="s">
        <v>610</v>
      </c>
      <c r="C304" s="277">
        <v>3925000</v>
      </c>
      <c r="D304" s="277">
        <v>0</v>
      </c>
    </row>
    <row r="305" spans="1:4" ht="19.5" hidden="1" customHeight="1">
      <c r="A305" s="72"/>
      <c r="B305" s="73" t="s">
        <v>641</v>
      </c>
      <c r="C305" s="277">
        <v>62500000</v>
      </c>
      <c r="D305" s="277">
        <v>75000000</v>
      </c>
    </row>
    <row r="306" spans="1:4" ht="19.5" hidden="1" customHeight="1">
      <c r="A306" s="72"/>
      <c r="B306" s="73" t="s">
        <v>640</v>
      </c>
      <c r="C306" s="277">
        <v>150000000</v>
      </c>
      <c r="D306" s="277">
        <v>0</v>
      </c>
    </row>
    <row r="307" spans="1:4" ht="24.75" hidden="1" customHeight="1">
      <c r="A307" s="74"/>
      <c r="B307" s="16" t="s">
        <v>266</v>
      </c>
      <c r="C307" s="60">
        <f>SUM(C300:C306)</f>
        <v>3299175500</v>
      </c>
      <c r="D307" s="60">
        <f>SUM(D300:D306)</f>
        <v>3311682462</v>
      </c>
    </row>
    <row r="308" spans="1:4" ht="17.25" hidden="1" customHeight="1">
      <c r="A308" s="241"/>
      <c r="B308" s="58"/>
      <c r="C308" s="242"/>
      <c r="D308" s="242"/>
    </row>
    <row r="309" spans="1:4" ht="25.5" hidden="1" customHeight="1">
      <c r="A309" s="99" t="s">
        <v>497</v>
      </c>
      <c r="B309" s="100"/>
      <c r="C309" s="101" t="str">
        <f>C299</f>
        <v>Sè cuèi kú</v>
      </c>
      <c r="D309" s="101" t="str">
        <f>D299</f>
        <v>Sè ®Çu n¨m</v>
      </c>
    </row>
    <row r="310" spans="1:4" ht="21.75" hidden="1" customHeight="1">
      <c r="A310" s="53"/>
      <c r="B310" s="54" t="s">
        <v>325</v>
      </c>
      <c r="C310" s="70">
        <v>65600000</v>
      </c>
      <c r="D310" s="70">
        <v>35600000</v>
      </c>
    </row>
    <row r="311" spans="1:4" ht="21.75" hidden="1" customHeight="1">
      <c r="A311" s="55"/>
      <c r="B311" s="56" t="s">
        <v>326</v>
      </c>
      <c r="C311" s="11">
        <v>46057300</v>
      </c>
      <c r="D311" s="11">
        <v>88408180</v>
      </c>
    </row>
    <row r="312" spans="1:4" ht="21.75" hidden="1" customHeight="1">
      <c r="A312" s="55"/>
      <c r="B312" s="56" t="s">
        <v>47</v>
      </c>
      <c r="C312" s="11">
        <v>190938670</v>
      </c>
      <c r="D312" s="14">
        <v>0</v>
      </c>
    </row>
    <row r="313" spans="1:4" ht="21.75" hidden="1" customHeight="1">
      <c r="A313" s="55"/>
      <c r="B313" s="56" t="s">
        <v>488</v>
      </c>
      <c r="C313" s="14">
        <v>31458716</v>
      </c>
      <c r="D313" s="14">
        <v>0</v>
      </c>
    </row>
    <row r="314" spans="1:4" ht="21.75" hidden="1" customHeight="1">
      <c r="A314" s="55"/>
      <c r="B314" s="56" t="s">
        <v>489</v>
      </c>
      <c r="C314" s="14">
        <v>10588956</v>
      </c>
      <c r="D314" s="14">
        <v>0</v>
      </c>
    </row>
    <row r="315" spans="1:4" ht="21.75" hidden="1" customHeight="1">
      <c r="A315" s="55"/>
      <c r="B315" s="56" t="s">
        <v>327</v>
      </c>
      <c r="C315" s="11">
        <v>74722085</v>
      </c>
      <c r="D315" s="11">
        <v>47785398</v>
      </c>
    </row>
    <row r="316" spans="1:4" ht="21.75" hidden="1" customHeight="1">
      <c r="A316" s="55"/>
      <c r="B316" s="11" t="s">
        <v>594</v>
      </c>
      <c r="C316" s="11">
        <v>0</v>
      </c>
      <c r="D316" s="11">
        <v>934000</v>
      </c>
    </row>
    <row r="317" spans="1:4" ht="21.75" hidden="1" customHeight="1">
      <c r="A317" s="65"/>
      <c r="B317" s="66" t="s">
        <v>490</v>
      </c>
      <c r="C317" s="67">
        <v>2790300</v>
      </c>
      <c r="D317" s="67">
        <v>2790300</v>
      </c>
    </row>
    <row r="318" spans="1:4" ht="21.75" hidden="1" customHeight="1">
      <c r="A318" s="74"/>
      <c r="B318" s="16" t="s">
        <v>266</v>
      </c>
      <c r="C318" s="75">
        <f>SUM(C310:C317)</f>
        <v>422156027</v>
      </c>
      <c r="D318" s="75">
        <f>SUM(D310:D317)</f>
        <v>175517878</v>
      </c>
    </row>
    <row r="319" spans="1:4" ht="21" hidden="1" customHeight="1">
      <c r="A319" s="80" t="s">
        <v>498</v>
      </c>
      <c r="B319" s="7"/>
      <c r="C319" s="23"/>
      <c r="D319" s="23"/>
    </row>
    <row r="320" spans="1:4" ht="10.5" hidden="1" customHeight="1">
      <c r="A320" s="80"/>
      <c r="B320" s="7"/>
      <c r="C320" s="23"/>
      <c r="D320" s="23"/>
    </row>
    <row r="321" spans="1:10" ht="24.75" hidden="1" customHeight="1">
      <c r="A321" s="68" t="s">
        <v>499</v>
      </c>
      <c r="B321" s="69"/>
      <c r="C321" s="16" t="str">
        <f>C309</f>
        <v>Sè cuèi kú</v>
      </c>
      <c r="D321" s="16" t="str">
        <f>D309</f>
        <v>Sè ®Çu n¨m</v>
      </c>
    </row>
    <row r="322" spans="1:10" ht="21.75" hidden="1" customHeight="1">
      <c r="A322" s="53" t="s">
        <v>328</v>
      </c>
      <c r="B322" s="70"/>
      <c r="C322" s="70">
        <f>C323</f>
        <v>0</v>
      </c>
      <c r="D322" s="70">
        <f>D323</f>
        <v>6594991410</v>
      </c>
    </row>
    <row r="323" spans="1:10" ht="21.75" hidden="1" customHeight="1">
      <c r="A323" s="55"/>
      <c r="B323" s="102" t="s">
        <v>329</v>
      </c>
      <c r="C323" s="13">
        <v>0</v>
      </c>
      <c r="D323" s="13">
        <v>6594991410</v>
      </c>
    </row>
    <row r="324" spans="1:10" ht="21.75" hidden="1" customHeight="1">
      <c r="A324" s="55" t="s">
        <v>330</v>
      </c>
      <c r="B324" s="11"/>
      <c r="C324" s="11">
        <f>SUM(C325:C325)</f>
        <v>600000000</v>
      </c>
      <c r="D324" s="11">
        <f>SUM(D325:D325)</f>
        <v>500000000</v>
      </c>
    </row>
    <row r="325" spans="1:10" ht="21.75" hidden="1" customHeight="1">
      <c r="A325" s="72"/>
      <c r="B325" s="103" t="s">
        <v>439</v>
      </c>
      <c r="C325" s="36">
        <v>600000000</v>
      </c>
      <c r="D325" s="36">
        <v>500000000</v>
      </c>
    </row>
    <row r="326" spans="1:10" ht="21" hidden="1" customHeight="1">
      <c r="A326" s="74"/>
      <c r="B326" s="16" t="s">
        <v>266</v>
      </c>
      <c r="C326" s="75">
        <f>C322+C324</f>
        <v>600000000</v>
      </c>
      <c r="D326" s="75">
        <f>D322+D324</f>
        <v>7094991410</v>
      </c>
    </row>
    <row r="327" spans="1:10" ht="27.75" hidden="1" customHeight="1">
      <c r="A327" s="39" t="s">
        <v>500</v>
      </c>
    </row>
    <row r="328" spans="1:10" ht="22.5" hidden="1" customHeight="1">
      <c r="A328" s="6" t="s">
        <v>331</v>
      </c>
    </row>
    <row r="329" spans="1:10" ht="9" hidden="1" customHeight="1">
      <c r="A329" s="6"/>
    </row>
    <row r="330" spans="1:10" s="1" customFormat="1" ht="15.75" hidden="1">
      <c r="A330" s="82"/>
      <c r="B330" s="82" t="s">
        <v>332</v>
      </c>
      <c r="C330" s="82" t="s">
        <v>333</v>
      </c>
      <c r="D330" s="82" t="s">
        <v>334</v>
      </c>
      <c r="E330" s="82" t="s">
        <v>579</v>
      </c>
      <c r="F330" s="82" t="s">
        <v>335</v>
      </c>
      <c r="G330" s="82" t="s">
        <v>335</v>
      </c>
      <c r="H330" s="82"/>
      <c r="I330" s="104" t="s">
        <v>159</v>
      </c>
      <c r="J330" s="82"/>
    </row>
    <row r="331" spans="1:10" s="1" customFormat="1" ht="15.75" hidden="1">
      <c r="A331" s="83" t="s">
        <v>283</v>
      </c>
      <c r="B331" s="83" t="s">
        <v>336</v>
      </c>
      <c r="C331" s="83" t="s">
        <v>337</v>
      </c>
      <c r="D331" s="83" t="s">
        <v>338</v>
      </c>
      <c r="E331" s="83" t="s">
        <v>580</v>
      </c>
      <c r="F331" s="83" t="s">
        <v>339</v>
      </c>
      <c r="G331" s="83" t="s">
        <v>340</v>
      </c>
      <c r="H331" s="83" t="s">
        <v>341</v>
      </c>
      <c r="I331" s="105" t="s">
        <v>342</v>
      </c>
      <c r="J331" s="83" t="s">
        <v>266</v>
      </c>
    </row>
    <row r="332" spans="1:10" s="1" customFormat="1" ht="15.75" hidden="1">
      <c r="A332" s="18"/>
      <c r="B332" s="18" t="s">
        <v>343</v>
      </c>
      <c r="C332" s="18" t="s">
        <v>344</v>
      </c>
      <c r="D332" s="18" t="s">
        <v>343</v>
      </c>
      <c r="E332" s="18" t="s">
        <v>581</v>
      </c>
      <c r="F332" s="18" t="s">
        <v>345</v>
      </c>
      <c r="G332" s="18" t="s">
        <v>346</v>
      </c>
      <c r="H332" s="18"/>
      <c r="I332" s="106" t="s">
        <v>347</v>
      </c>
      <c r="J332" s="18"/>
    </row>
    <row r="333" spans="1:10" s="1" customFormat="1" ht="21.75" hidden="1" customHeight="1">
      <c r="A333" s="15" t="s">
        <v>348</v>
      </c>
      <c r="B333" s="15">
        <v>1</v>
      </c>
      <c r="C333" s="15">
        <v>2</v>
      </c>
      <c r="D333" s="15">
        <v>3</v>
      </c>
      <c r="E333" s="15">
        <v>4</v>
      </c>
      <c r="F333" s="15">
        <v>5</v>
      </c>
      <c r="G333" s="15">
        <v>6</v>
      </c>
      <c r="H333" s="15">
        <v>7</v>
      </c>
      <c r="I333" s="15">
        <v>8</v>
      </c>
      <c r="J333" s="15">
        <v>9</v>
      </c>
    </row>
    <row r="334" spans="1:10" ht="27" hidden="1" customHeight="1">
      <c r="A334" s="60" t="s">
        <v>48</v>
      </c>
      <c r="B334" s="60">
        <v>27586800000</v>
      </c>
      <c r="C334" s="60">
        <v>4121612131</v>
      </c>
      <c r="D334" s="60">
        <v>20920141459</v>
      </c>
      <c r="E334" s="60"/>
      <c r="F334" s="60"/>
      <c r="G334" s="60"/>
      <c r="H334" s="60"/>
      <c r="I334" s="60"/>
      <c r="J334" s="60">
        <f t="shared" ref="J334:J340" si="5">SUM(B334:I334)</f>
        <v>52628553590</v>
      </c>
    </row>
    <row r="335" spans="1:10" ht="26.25" hidden="1" customHeight="1">
      <c r="A335" s="111" t="s">
        <v>349</v>
      </c>
      <c r="B335" s="282"/>
      <c r="C335" s="282"/>
      <c r="D335" s="282"/>
      <c r="E335" s="282"/>
      <c r="F335" s="282"/>
      <c r="G335" s="282"/>
      <c r="H335" s="282"/>
      <c r="I335" s="282"/>
      <c r="J335" s="283">
        <f t="shared" si="5"/>
        <v>0</v>
      </c>
    </row>
    <row r="336" spans="1:10" ht="26.25" hidden="1" customHeight="1">
      <c r="A336" s="31" t="s">
        <v>350</v>
      </c>
      <c r="B336" s="30"/>
      <c r="C336" s="30"/>
      <c r="D336" s="30">
        <v>7848246137</v>
      </c>
      <c r="E336" s="30"/>
      <c r="F336" s="30"/>
      <c r="G336" s="30"/>
      <c r="H336" s="30"/>
      <c r="I336" s="30"/>
      <c r="J336" s="89">
        <f t="shared" si="5"/>
        <v>7848246137</v>
      </c>
    </row>
    <row r="337" spans="1:10" ht="26.25" hidden="1" customHeight="1">
      <c r="A337" s="31" t="s">
        <v>293</v>
      </c>
      <c r="B337" s="30"/>
      <c r="C337" s="30"/>
      <c r="D337" s="44">
        <v>800000000</v>
      </c>
      <c r="E337" s="30"/>
      <c r="F337" s="30"/>
      <c r="G337" s="30"/>
      <c r="H337" s="30"/>
      <c r="I337" s="30"/>
      <c r="J337" s="89">
        <f t="shared" si="5"/>
        <v>800000000</v>
      </c>
    </row>
    <row r="338" spans="1:10" ht="26.25" hidden="1" customHeight="1">
      <c r="A338" s="31" t="s">
        <v>351</v>
      </c>
      <c r="B338" s="234"/>
      <c r="C338" s="30"/>
      <c r="D338" s="40"/>
      <c r="E338" s="30"/>
      <c r="F338" s="30"/>
      <c r="G338" s="30"/>
      <c r="H338" s="30"/>
      <c r="I338" s="30"/>
      <c r="J338" s="89">
        <f t="shared" si="5"/>
        <v>0</v>
      </c>
    </row>
    <row r="339" spans="1:10" ht="26.25" hidden="1" customHeight="1">
      <c r="A339" s="108" t="s">
        <v>352</v>
      </c>
      <c r="B339" s="30"/>
      <c r="C339" s="30"/>
      <c r="D339" s="30"/>
      <c r="E339" s="30"/>
      <c r="F339" s="30"/>
      <c r="G339" s="30"/>
      <c r="H339" s="30"/>
      <c r="I339" s="30"/>
      <c r="J339" s="89">
        <f t="shared" si="5"/>
        <v>0</v>
      </c>
    </row>
    <row r="340" spans="1:10" ht="26.25" hidden="1" customHeight="1">
      <c r="A340" s="109" t="s">
        <v>295</v>
      </c>
      <c r="B340" s="30"/>
      <c r="C340" s="30"/>
      <c r="D340" s="234">
        <v>-12153616000</v>
      </c>
      <c r="E340" s="30"/>
      <c r="F340" s="30"/>
      <c r="G340" s="284"/>
      <c r="H340" s="30"/>
      <c r="I340" s="30"/>
      <c r="J340" s="285">
        <f t="shared" si="5"/>
        <v>-12153616000</v>
      </c>
    </row>
    <row r="341" spans="1:10" ht="27" hidden="1" customHeight="1">
      <c r="A341" s="110" t="s">
        <v>49</v>
      </c>
      <c r="B341" s="110">
        <f>SUM(B334:B340)</f>
        <v>27586800000</v>
      </c>
      <c r="C341" s="110">
        <f t="shared" ref="C341:J341" si="6">SUM(C334:C340)</f>
        <v>4121612131</v>
      </c>
      <c r="D341" s="110">
        <f t="shared" si="6"/>
        <v>17414771596</v>
      </c>
      <c r="E341" s="110">
        <v>0</v>
      </c>
      <c r="F341" s="110">
        <f t="shared" si="6"/>
        <v>0</v>
      </c>
      <c r="G341" s="110">
        <f t="shared" si="6"/>
        <v>0</v>
      </c>
      <c r="H341" s="110">
        <f t="shared" si="6"/>
        <v>0</v>
      </c>
      <c r="I341" s="110">
        <f t="shared" si="6"/>
        <v>0</v>
      </c>
      <c r="J341" s="110">
        <f t="shared" si="6"/>
        <v>49123183727</v>
      </c>
    </row>
    <row r="342" spans="1:10" ht="27" hidden="1" customHeight="1">
      <c r="A342" s="60" t="s">
        <v>50</v>
      </c>
      <c r="B342" s="110">
        <f>B341</f>
        <v>27586800000</v>
      </c>
      <c r="C342" s="110">
        <f>C341</f>
        <v>4121612131</v>
      </c>
      <c r="D342" s="110">
        <f>D341</f>
        <v>17414771596</v>
      </c>
      <c r="E342" s="110">
        <v>0</v>
      </c>
      <c r="F342" s="110">
        <f>SUM(F335:F338)-SUM(F339:F341)</f>
        <v>0</v>
      </c>
      <c r="G342" s="110">
        <f>SUM(G335:G341)</f>
        <v>0</v>
      </c>
      <c r="H342" s="110">
        <f>SUM(H335:H341)</f>
        <v>0</v>
      </c>
      <c r="I342" s="110">
        <f>SUM(I335:I341)</f>
        <v>0</v>
      </c>
      <c r="J342" s="60">
        <f>J341</f>
        <v>49123183727</v>
      </c>
    </row>
    <row r="343" spans="1:10" ht="24.75" hidden="1" customHeight="1">
      <c r="A343" s="111" t="s">
        <v>353</v>
      </c>
      <c r="B343" s="282"/>
      <c r="C343" s="282"/>
      <c r="D343" s="282">
        <v>1000000000</v>
      </c>
      <c r="E343" s="282"/>
      <c r="F343" s="282"/>
      <c r="G343" s="282"/>
      <c r="H343" s="282"/>
      <c r="I343" s="282"/>
      <c r="J343" s="283">
        <f t="shared" ref="J343:J349" si="7">SUM(B343:I343)</f>
        <v>1000000000</v>
      </c>
    </row>
    <row r="344" spans="1:10" ht="24.75" hidden="1" customHeight="1">
      <c r="A344" s="31" t="s">
        <v>354</v>
      </c>
      <c r="B344" s="30"/>
      <c r="C344" s="30"/>
      <c r="D344" s="30">
        <v>4874387057</v>
      </c>
      <c r="E344" s="30"/>
      <c r="F344" s="30"/>
      <c r="G344" s="30"/>
      <c r="H344" s="30"/>
      <c r="I344" s="30"/>
      <c r="J344" s="89">
        <f t="shared" si="7"/>
        <v>4874387057</v>
      </c>
    </row>
    <row r="345" spans="1:10" ht="24.75" hidden="1" customHeight="1">
      <c r="A345" s="31" t="s">
        <v>293</v>
      </c>
      <c r="B345" s="30"/>
      <c r="C345" s="30"/>
      <c r="D345" s="44"/>
      <c r="E345" s="30"/>
      <c r="F345" s="30"/>
      <c r="G345" s="30"/>
      <c r="H345" s="30"/>
      <c r="I345" s="30"/>
      <c r="J345" s="89">
        <f t="shared" si="7"/>
        <v>0</v>
      </c>
    </row>
    <row r="346" spans="1:10" ht="24.75" hidden="1" customHeight="1">
      <c r="A346" s="31" t="s">
        <v>355</v>
      </c>
      <c r="B346" s="234"/>
      <c r="C346" s="30"/>
      <c r="D346" s="30"/>
      <c r="E346" s="30"/>
      <c r="F346" s="30"/>
      <c r="G346" s="30"/>
      <c r="H346" s="30"/>
      <c r="I346" s="30"/>
      <c r="J346" s="89">
        <f t="shared" si="7"/>
        <v>0</v>
      </c>
    </row>
    <row r="347" spans="1:10" ht="24.75" hidden="1" customHeight="1">
      <c r="A347" s="108" t="s">
        <v>356</v>
      </c>
      <c r="B347" s="30"/>
      <c r="C347" s="30"/>
      <c r="D347" s="30"/>
      <c r="E347" s="30"/>
      <c r="F347" s="30"/>
      <c r="G347" s="30"/>
      <c r="H347" s="30"/>
      <c r="I347" s="30"/>
      <c r="J347" s="89">
        <f t="shared" si="7"/>
        <v>0</v>
      </c>
    </row>
    <row r="348" spans="1:10" ht="24.75" hidden="1" customHeight="1">
      <c r="A348" s="109" t="s">
        <v>295</v>
      </c>
      <c r="B348" s="30"/>
      <c r="C348" s="30"/>
      <c r="D348" s="234">
        <f>-2165000000</f>
        <v>-2165000000</v>
      </c>
      <c r="E348" s="30"/>
      <c r="F348" s="30"/>
      <c r="G348" s="284"/>
      <c r="H348" s="30"/>
      <c r="I348" s="30"/>
      <c r="J348" s="235">
        <f t="shared" si="7"/>
        <v>-2165000000</v>
      </c>
    </row>
    <row r="349" spans="1:10" ht="26.25" hidden="1" customHeight="1">
      <c r="A349" s="60" t="s">
        <v>51</v>
      </c>
      <c r="B349" s="60">
        <f>SUM(B342:B348)</f>
        <v>27586800000</v>
      </c>
      <c r="C349" s="60">
        <f>C342</f>
        <v>4121612131</v>
      </c>
      <c r="D349" s="60">
        <f t="shared" ref="D349:I349" si="8">SUM(D342:D348)</f>
        <v>21124158653</v>
      </c>
      <c r="E349" s="60">
        <v>0</v>
      </c>
      <c r="F349" s="59">
        <f t="shared" si="8"/>
        <v>0</v>
      </c>
      <c r="G349" s="137">
        <f t="shared" si="8"/>
        <v>0</v>
      </c>
      <c r="H349" s="75">
        <f t="shared" si="8"/>
        <v>0</v>
      </c>
      <c r="I349" s="60">
        <f t="shared" si="8"/>
        <v>0</v>
      </c>
      <c r="J349" s="60">
        <f t="shared" si="7"/>
        <v>52832570784</v>
      </c>
    </row>
    <row r="350" spans="1:10" ht="13.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ht="24.75" customHeight="1">
      <c r="A351" s="60" t="s">
        <v>358</v>
      </c>
      <c r="B351" s="134"/>
      <c r="C351" s="16" t="s">
        <v>411</v>
      </c>
      <c r="D351" s="16" t="s">
        <v>357</v>
      </c>
      <c r="E351" s="24"/>
      <c r="F351" s="24"/>
      <c r="G351" s="24"/>
      <c r="H351" s="24"/>
      <c r="I351" s="24"/>
      <c r="J351" s="24"/>
    </row>
    <row r="352" spans="1:10" ht="24.75" customHeight="1">
      <c r="A352" s="210"/>
      <c r="B352" s="111" t="s">
        <v>359</v>
      </c>
      <c r="C352" s="10">
        <v>11105505854</v>
      </c>
      <c r="D352" s="10">
        <v>10105505854</v>
      </c>
      <c r="E352" s="24"/>
      <c r="F352" s="24"/>
      <c r="G352" s="24"/>
      <c r="H352" s="24"/>
      <c r="I352" s="24"/>
      <c r="J352" s="24"/>
    </row>
    <row r="353" spans="1:10" ht="24" customHeight="1">
      <c r="A353" s="211"/>
      <c r="B353" s="31" t="s">
        <v>360</v>
      </c>
      <c r="C353" s="12">
        <v>650000000</v>
      </c>
      <c r="D353" s="12">
        <v>650000000</v>
      </c>
      <c r="E353" s="24"/>
      <c r="F353" s="24"/>
      <c r="G353" s="24"/>
      <c r="H353" s="24"/>
      <c r="I353" s="24"/>
      <c r="J353" s="24"/>
    </row>
    <row r="354" spans="1:10" ht="24.75" customHeight="1">
      <c r="A354" s="144"/>
      <c r="B354" s="16" t="s">
        <v>266</v>
      </c>
      <c r="C354" s="75">
        <f>SUM(C352:C353)</f>
        <v>11755505854</v>
      </c>
      <c r="D354" s="75">
        <f>SUM(D352:D353)</f>
        <v>10755505854</v>
      </c>
      <c r="E354" s="24"/>
      <c r="F354" s="24"/>
      <c r="G354" s="24"/>
      <c r="H354" s="24"/>
      <c r="I354" s="24"/>
      <c r="J354" s="24"/>
    </row>
    <row r="355" spans="1:10" ht="25.5" customHeight="1">
      <c r="A355" s="39" t="s">
        <v>501</v>
      </c>
      <c r="B355" s="39"/>
      <c r="C355" s="39"/>
    </row>
    <row r="356" spans="1:10" ht="27" customHeight="1">
      <c r="A356" s="39" t="s">
        <v>502</v>
      </c>
      <c r="B356" s="39"/>
      <c r="C356" s="39"/>
    </row>
    <row r="357" spans="1:10" ht="24.75" customHeight="1">
      <c r="A357" s="39" t="s">
        <v>361</v>
      </c>
      <c r="B357" s="39"/>
      <c r="C357" s="39"/>
    </row>
    <row r="358" spans="1:10" ht="16.5" customHeight="1">
      <c r="A358" s="39"/>
      <c r="B358" s="39"/>
      <c r="C358" s="39"/>
    </row>
    <row r="359" spans="1:10" ht="24.75" customHeight="1">
      <c r="A359" s="68"/>
      <c r="B359" s="16" t="s">
        <v>283</v>
      </c>
      <c r="C359" s="16" t="s">
        <v>52</v>
      </c>
      <c r="D359" s="114" t="s">
        <v>205</v>
      </c>
      <c r="E359" s="23"/>
    </row>
    <row r="360" spans="1:10" ht="21" customHeight="1">
      <c r="A360" s="115" t="s">
        <v>503</v>
      </c>
      <c r="B360" s="11"/>
      <c r="C360" s="21">
        <f>SUM(C361:C363)</f>
        <v>53844500287</v>
      </c>
      <c r="D360" s="21">
        <f>SUM(D361:D363)</f>
        <v>100698906913</v>
      </c>
      <c r="E360" s="80"/>
    </row>
    <row r="361" spans="1:10" ht="21" customHeight="1">
      <c r="A361" s="55"/>
      <c r="B361" s="56" t="s">
        <v>362</v>
      </c>
      <c r="C361" s="11">
        <v>7034322553</v>
      </c>
      <c r="D361" s="11">
        <v>13426848053</v>
      </c>
      <c r="E361" s="44"/>
    </row>
    <row r="362" spans="1:10" ht="21" customHeight="1">
      <c r="A362" s="55"/>
      <c r="B362" s="56" t="s">
        <v>363</v>
      </c>
      <c r="C362" s="11">
        <v>43966940101</v>
      </c>
      <c r="D362" s="11">
        <v>82634600168</v>
      </c>
      <c r="E362" s="44"/>
    </row>
    <row r="363" spans="1:10" ht="21" customHeight="1">
      <c r="A363" s="55"/>
      <c r="B363" s="56" t="s">
        <v>364</v>
      </c>
      <c r="C363" s="11">
        <v>2843237633</v>
      </c>
      <c r="D363" s="11">
        <v>4637458692</v>
      </c>
      <c r="E363" s="44"/>
    </row>
    <row r="364" spans="1:10" ht="21" customHeight="1">
      <c r="A364" s="115" t="s">
        <v>504</v>
      </c>
      <c r="B364" s="21"/>
      <c r="C364" s="21">
        <f>SUM(C365:C366)</f>
        <v>175832354</v>
      </c>
      <c r="D364" s="21">
        <f>SUM(D365:D366)</f>
        <v>200657354</v>
      </c>
      <c r="E364" s="80"/>
    </row>
    <row r="365" spans="1:10" ht="21" customHeight="1">
      <c r="A365" s="55"/>
      <c r="B365" s="56" t="s">
        <v>627</v>
      </c>
      <c r="C365" s="11">
        <v>61942486</v>
      </c>
      <c r="D365" s="11">
        <v>61942486</v>
      </c>
      <c r="E365" s="80"/>
    </row>
    <row r="366" spans="1:10" ht="21" customHeight="1">
      <c r="A366" s="55"/>
      <c r="B366" s="56" t="s">
        <v>613</v>
      </c>
      <c r="C366" s="11">
        <v>113889868</v>
      </c>
      <c r="D366" s="11">
        <v>138714868</v>
      </c>
      <c r="E366" s="44"/>
    </row>
    <row r="367" spans="1:10" ht="21" customHeight="1">
      <c r="A367" s="115" t="s">
        <v>505</v>
      </c>
      <c r="B367" s="21"/>
      <c r="C367" s="21">
        <f>SUM(C368:C370)</f>
        <v>53668667933</v>
      </c>
      <c r="D367" s="21">
        <f>SUM(D368:D370)</f>
        <v>100498249559</v>
      </c>
      <c r="E367" s="80"/>
    </row>
    <row r="368" spans="1:10" ht="21" customHeight="1">
      <c r="A368" s="55" t="s">
        <v>365</v>
      </c>
      <c r="B368" s="11"/>
      <c r="C368" s="11">
        <f>C361</f>
        <v>7034322553</v>
      </c>
      <c r="D368" s="11">
        <f>D361</f>
        <v>13426848053</v>
      </c>
      <c r="E368" s="44"/>
    </row>
    <row r="369" spans="1:6" ht="21" customHeight="1">
      <c r="A369" s="55"/>
      <c r="B369" s="56" t="s">
        <v>366</v>
      </c>
      <c r="C369" s="11">
        <f>C362-C364</f>
        <v>43791107747</v>
      </c>
      <c r="D369" s="11">
        <f>D362-D364</f>
        <v>82433942814</v>
      </c>
      <c r="E369" s="44"/>
    </row>
    <row r="370" spans="1:6" ht="21" customHeight="1">
      <c r="A370" s="55"/>
      <c r="B370" s="56" t="s">
        <v>367</v>
      </c>
      <c r="C370" s="11">
        <f>C363</f>
        <v>2843237633</v>
      </c>
      <c r="D370" s="11">
        <f>D363</f>
        <v>4637458692</v>
      </c>
      <c r="E370" s="44"/>
    </row>
    <row r="371" spans="1:6" ht="21" customHeight="1">
      <c r="A371" s="115" t="s">
        <v>506</v>
      </c>
      <c r="B371" s="116"/>
      <c r="C371" s="21">
        <f>SUM(C372:C375)</f>
        <v>40073332539</v>
      </c>
      <c r="D371" s="21">
        <f>SUM(D372:D375)</f>
        <v>75891494994</v>
      </c>
      <c r="E371" s="44"/>
      <c r="F371" s="44"/>
    </row>
    <row r="372" spans="1:6" ht="21" customHeight="1">
      <c r="A372" s="117"/>
      <c r="B372" s="56" t="s">
        <v>368</v>
      </c>
      <c r="C372" s="11">
        <v>7101954472</v>
      </c>
      <c r="D372" s="11">
        <v>13425124597</v>
      </c>
      <c r="E372" s="44"/>
    </row>
    <row r="373" spans="1:6" ht="21" customHeight="1">
      <c r="A373" s="55"/>
      <c r="B373" s="56" t="s">
        <v>369</v>
      </c>
      <c r="C373" s="11">
        <f>31486860564+12275406+200</f>
        <v>31499136170</v>
      </c>
      <c r="D373" s="11">
        <f>60187359665+12275406+200</f>
        <v>60199635271</v>
      </c>
      <c r="E373" s="44"/>
      <c r="F373" s="44"/>
    </row>
    <row r="374" spans="1:6" ht="21" customHeight="1">
      <c r="A374" s="55"/>
      <c r="B374" s="56" t="s">
        <v>401</v>
      </c>
      <c r="C374" s="11">
        <v>1472241897</v>
      </c>
      <c r="D374" s="11">
        <v>2266735126</v>
      </c>
      <c r="E374" s="44"/>
    </row>
    <row r="375" spans="1:6" ht="21" customHeight="1">
      <c r="A375" s="79"/>
      <c r="B375" s="56" t="s">
        <v>275</v>
      </c>
      <c r="C375" s="11">
        <v>0</v>
      </c>
      <c r="D375" s="11">
        <v>0</v>
      </c>
      <c r="E375" s="44"/>
    </row>
    <row r="376" spans="1:6" ht="21" customHeight="1">
      <c r="A376" s="115" t="s">
        <v>507</v>
      </c>
      <c r="B376" s="21"/>
      <c r="C376" s="21">
        <f>SUM(C377:C379)</f>
        <v>185555442</v>
      </c>
      <c r="D376" s="21">
        <f>SUM(D377:D379)</f>
        <v>249741948</v>
      </c>
      <c r="E376" s="24"/>
    </row>
    <row r="377" spans="1:6" ht="21" customHeight="1">
      <c r="A377" s="55"/>
      <c r="B377" s="56" t="s">
        <v>370</v>
      </c>
      <c r="C377" s="11">
        <v>177815442</v>
      </c>
      <c r="D377" s="11">
        <v>237935948</v>
      </c>
      <c r="E377" s="44"/>
    </row>
    <row r="378" spans="1:6" ht="21" customHeight="1">
      <c r="A378" s="55"/>
      <c r="B378" s="56" t="s">
        <v>628</v>
      </c>
      <c r="C378" s="11">
        <v>7740000</v>
      </c>
      <c r="D378" s="11">
        <v>7740000</v>
      </c>
      <c r="E378" s="44"/>
    </row>
    <row r="379" spans="1:6" ht="21" customHeight="1">
      <c r="A379" s="55"/>
      <c r="B379" s="56" t="s">
        <v>614</v>
      </c>
      <c r="C379" s="11">
        <v>0</v>
      </c>
      <c r="D379" s="11">
        <v>4066000</v>
      </c>
      <c r="E379" s="44"/>
    </row>
    <row r="380" spans="1:6" ht="21" customHeight="1">
      <c r="A380" s="118" t="s">
        <v>508</v>
      </c>
      <c r="B380" s="10"/>
      <c r="C380" s="19">
        <f>SUM(C381:C384)</f>
        <v>895375705</v>
      </c>
      <c r="D380" s="19">
        <f>SUM(D381:D384)</f>
        <v>1740383489</v>
      </c>
      <c r="E380" s="24"/>
    </row>
    <row r="381" spans="1:6" ht="21" customHeight="1">
      <c r="A381" s="55"/>
      <c r="B381" s="56" t="s">
        <v>371</v>
      </c>
      <c r="C381" s="28">
        <v>661065821</v>
      </c>
      <c r="D381" s="28">
        <v>1391890225</v>
      </c>
      <c r="E381" s="44"/>
    </row>
    <row r="382" spans="1:6" ht="21" customHeight="1">
      <c r="A382" s="72"/>
      <c r="B382" s="56" t="s">
        <v>615</v>
      </c>
      <c r="C382" s="277">
        <v>220309884</v>
      </c>
      <c r="D382" s="277">
        <v>305940064</v>
      </c>
      <c r="E382" s="44"/>
    </row>
    <row r="383" spans="1:6" ht="21" customHeight="1">
      <c r="A383" s="72"/>
      <c r="B383" s="56" t="s">
        <v>573</v>
      </c>
      <c r="C383" s="277">
        <v>0</v>
      </c>
      <c r="D383" s="277">
        <v>12205200</v>
      </c>
      <c r="E383" s="44"/>
    </row>
    <row r="384" spans="1:6" ht="21" customHeight="1">
      <c r="A384" s="65"/>
      <c r="B384" s="66" t="s">
        <v>616</v>
      </c>
      <c r="C384" s="32">
        <v>14000000</v>
      </c>
      <c r="D384" s="32">
        <v>30348000</v>
      </c>
      <c r="E384" s="44"/>
    </row>
    <row r="385" spans="1:10" ht="21.75" customHeight="1">
      <c r="A385" s="7"/>
      <c r="B385" s="113"/>
      <c r="C385" s="7"/>
      <c r="D385" s="7"/>
      <c r="E385" s="7"/>
    </row>
    <row r="386" spans="1:10" ht="20.25" customHeight="1">
      <c r="A386" s="74"/>
      <c r="B386" s="16" t="s">
        <v>283</v>
      </c>
      <c r="C386" s="16" t="s">
        <v>52</v>
      </c>
      <c r="D386" s="114" t="s">
        <v>205</v>
      </c>
      <c r="E386" s="7"/>
    </row>
    <row r="387" spans="1:10" ht="19.5" customHeight="1">
      <c r="A387" s="118" t="s">
        <v>509</v>
      </c>
      <c r="B387" s="10"/>
      <c r="C387" s="19">
        <f>SUM(C388:C394)</f>
        <v>3838984227</v>
      </c>
      <c r="D387" s="19">
        <f>SUM(D388:D394)</f>
        <v>6834801310</v>
      </c>
      <c r="E387" s="7"/>
      <c r="F387" s="202"/>
    </row>
    <row r="388" spans="1:10" s="202" customFormat="1" ht="19.5" customHeight="1">
      <c r="A388" s="200"/>
      <c r="B388" s="56" t="s">
        <v>372</v>
      </c>
      <c r="C388" s="11">
        <v>327987000</v>
      </c>
      <c r="D388" s="11">
        <v>604633400</v>
      </c>
      <c r="E388" s="201"/>
      <c r="J388" s="280"/>
    </row>
    <row r="389" spans="1:10" s="202" customFormat="1" ht="19.5" customHeight="1">
      <c r="A389" s="203"/>
      <c r="B389" s="64" t="s">
        <v>373</v>
      </c>
      <c r="C389" s="11">
        <v>102183753</v>
      </c>
      <c r="D389" s="11">
        <v>204367506</v>
      </c>
      <c r="E389" s="201"/>
      <c r="J389" s="280"/>
    </row>
    <row r="390" spans="1:10" s="202" customFormat="1" ht="19.5" customHeight="1">
      <c r="A390" s="203"/>
      <c r="B390" s="64" t="s">
        <v>420</v>
      </c>
      <c r="C390" s="11">
        <v>463334300</v>
      </c>
      <c r="D390" s="11">
        <v>518228300</v>
      </c>
      <c r="E390" s="201"/>
      <c r="J390" s="280"/>
    </row>
    <row r="391" spans="1:10" s="202" customFormat="1" ht="19.5" customHeight="1">
      <c r="A391" s="203"/>
      <c r="B391" s="64" t="s">
        <v>423</v>
      </c>
      <c r="C391" s="11">
        <v>90361818</v>
      </c>
      <c r="D391" s="11">
        <v>149831590</v>
      </c>
      <c r="E391" s="201"/>
      <c r="J391" s="280"/>
    </row>
    <row r="392" spans="1:10" s="202" customFormat="1" ht="19.5" customHeight="1">
      <c r="A392" s="203"/>
      <c r="B392" s="64" t="s">
        <v>374</v>
      </c>
      <c r="C392" s="11">
        <v>747262536</v>
      </c>
      <c r="D392" s="11">
        <v>1520736825</v>
      </c>
      <c r="E392" s="201"/>
      <c r="J392" s="280"/>
    </row>
    <row r="393" spans="1:10" s="202" customFormat="1" ht="19.5" customHeight="1">
      <c r="A393" s="203"/>
      <c r="B393" s="64" t="s">
        <v>375</v>
      </c>
      <c r="C393" s="11">
        <v>1245018788</v>
      </c>
      <c r="D393" s="11">
        <v>1932702158</v>
      </c>
      <c r="E393" s="201"/>
      <c r="J393" s="280"/>
    </row>
    <row r="394" spans="1:10" s="202" customFormat="1" ht="19.5" customHeight="1">
      <c r="A394" s="203"/>
      <c r="B394" s="64" t="s">
        <v>376</v>
      </c>
      <c r="C394" s="11">
        <v>862836032</v>
      </c>
      <c r="D394" s="11">
        <v>1904301531</v>
      </c>
      <c r="E394" s="201"/>
      <c r="J394" s="280"/>
    </row>
    <row r="395" spans="1:10" ht="19.5" customHeight="1">
      <c r="A395" s="118" t="s">
        <v>510</v>
      </c>
      <c r="B395" s="10"/>
      <c r="C395" s="19">
        <f>SUM(C396:C403)</f>
        <v>5447375438</v>
      </c>
      <c r="D395" s="19">
        <f>SUM(D396:D403)</f>
        <v>9773764970</v>
      </c>
      <c r="E395" s="201"/>
    </row>
    <row r="396" spans="1:10" ht="19.5" customHeight="1">
      <c r="A396" s="55"/>
      <c r="B396" s="56" t="s">
        <v>377</v>
      </c>
      <c r="C396" s="28">
        <v>2048781000</v>
      </c>
      <c r="D396" s="11">
        <v>3889780000</v>
      </c>
      <c r="E396" s="7"/>
    </row>
    <row r="397" spans="1:10" ht="19.5" customHeight="1">
      <c r="A397" s="63"/>
      <c r="B397" s="64" t="s">
        <v>378</v>
      </c>
      <c r="C397" s="28">
        <f>332540220-1623</f>
        <v>332538597</v>
      </c>
      <c r="D397" s="28">
        <v>784376997</v>
      </c>
      <c r="E397" s="7"/>
    </row>
    <row r="398" spans="1:10" ht="19.5" customHeight="1">
      <c r="A398" s="63"/>
      <c r="B398" s="64" t="s">
        <v>379</v>
      </c>
      <c r="C398" s="10">
        <v>26228000</v>
      </c>
      <c r="D398" s="10">
        <v>26228000</v>
      </c>
      <c r="E398" s="7"/>
    </row>
    <row r="399" spans="1:10" ht="19.5" customHeight="1">
      <c r="A399" s="63"/>
      <c r="B399" s="64" t="s">
        <v>380</v>
      </c>
      <c r="C399" s="10">
        <v>353145242</v>
      </c>
      <c r="D399" s="10">
        <v>699306204</v>
      </c>
      <c r="E399" s="7"/>
    </row>
    <row r="400" spans="1:10" ht="19.5" customHeight="1">
      <c r="A400" s="63"/>
      <c r="B400" s="64" t="s">
        <v>381</v>
      </c>
      <c r="C400" s="10">
        <v>690417250</v>
      </c>
      <c r="D400" s="10">
        <v>695417250</v>
      </c>
      <c r="E400" s="7"/>
    </row>
    <row r="401" spans="1:5" ht="19.5" customHeight="1">
      <c r="A401" s="63"/>
      <c r="B401" s="64" t="s">
        <v>421</v>
      </c>
      <c r="C401" s="321">
        <v>390033453</v>
      </c>
      <c r="D401" s="321">
        <v>-142233486</v>
      </c>
      <c r="E401" s="7"/>
    </row>
    <row r="402" spans="1:5" ht="19.5" customHeight="1">
      <c r="A402" s="63"/>
      <c r="B402" s="64" t="s">
        <v>374</v>
      </c>
      <c r="C402" s="2">
        <v>1560731896</v>
      </c>
      <c r="D402" s="28">
        <v>3729890005</v>
      </c>
      <c r="E402" s="7"/>
    </row>
    <row r="403" spans="1:5" ht="19.5" customHeight="1">
      <c r="A403" s="65"/>
      <c r="B403" s="66" t="s">
        <v>53</v>
      </c>
      <c r="C403" s="67">
        <v>45500000</v>
      </c>
      <c r="D403" s="67">
        <v>91000000</v>
      </c>
      <c r="E403" s="7"/>
    </row>
    <row r="404" spans="1:5" ht="22.5" customHeight="1">
      <c r="A404" s="59" t="s">
        <v>511</v>
      </c>
      <c r="B404" s="119"/>
      <c r="C404" s="15" t="s">
        <v>52</v>
      </c>
      <c r="D404" s="114" t="s">
        <v>205</v>
      </c>
      <c r="E404" s="23"/>
    </row>
    <row r="405" spans="1:5" ht="21" customHeight="1">
      <c r="A405" s="120" t="s">
        <v>382</v>
      </c>
      <c r="B405" s="121"/>
      <c r="C405" s="77">
        <f>C406+C407</f>
        <v>24910061035</v>
      </c>
      <c r="D405" s="77">
        <f>SUM(D406:D407)</f>
        <v>50992788951</v>
      </c>
      <c r="E405" s="24"/>
    </row>
    <row r="406" spans="1:5" ht="20.25" customHeight="1">
      <c r="A406" s="55"/>
      <c r="B406" s="122" t="s">
        <v>383</v>
      </c>
      <c r="C406" s="28">
        <v>24503944437</v>
      </c>
      <c r="D406" s="28">
        <v>50202483594</v>
      </c>
      <c r="E406" s="7"/>
    </row>
    <row r="407" spans="1:5" ht="20.25" customHeight="1">
      <c r="A407" s="55"/>
      <c r="B407" s="122" t="s">
        <v>384</v>
      </c>
      <c r="C407" s="28">
        <v>406116598</v>
      </c>
      <c r="D407" s="28">
        <v>790305357</v>
      </c>
      <c r="E407" s="7"/>
    </row>
    <row r="408" spans="1:5" ht="20.25" customHeight="1">
      <c r="A408" s="115" t="s">
        <v>385</v>
      </c>
      <c r="B408" s="123"/>
      <c r="C408" s="27">
        <f>SUM(C409:C411)</f>
        <v>7242263200</v>
      </c>
      <c r="D408" s="27">
        <f>SUM(D409:D411)</f>
        <v>14273168800</v>
      </c>
      <c r="E408" s="24"/>
    </row>
    <row r="409" spans="1:5" ht="20.25" customHeight="1">
      <c r="A409" s="55"/>
      <c r="B409" s="122" t="s">
        <v>386</v>
      </c>
      <c r="C409" s="28">
        <f>6562409100-C410</f>
        <v>6064295000</v>
      </c>
      <c r="D409" s="28">
        <v>11902695000</v>
      </c>
      <c r="E409" s="7"/>
    </row>
    <row r="410" spans="1:5" ht="20.25" customHeight="1">
      <c r="A410" s="55"/>
      <c r="B410" s="122" t="s">
        <v>387</v>
      </c>
      <c r="C410" s="28">
        <v>498114100</v>
      </c>
      <c r="D410" s="28">
        <v>922867900</v>
      </c>
      <c r="E410" s="7"/>
    </row>
    <row r="411" spans="1:5" ht="20.25" customHeight="1">
      <c r="A411" s="55"/>
      <c r="B411" s="122" t="s">
        <v>629</v>
      </c>
      <c r="C411" s="28">
        <v>679854100</v>
      </c>
      <c r="D411" s="28">
        <v>1447605900</v>
      </c>
      <c r="E411" s="7"/>
    </row>
    <row r="412" spans="1:5" ht="20.25" customHeight="1">
      <c r="A412" s="115" t="s">
        <v>388</v>
      </c>
      <c r="B412" s="123"/>
      <c r="C412" s="27">
        <v>1933522392</v>
      </c>
      <c r="D412" s="27">
        <v>3820082522</v>
      </c>
      <c r="E412" s="7"/>
    </row>
    <row r="413" spans="1:5" ht="20.25" customHeight="1">
      <c r="A413" s="115" t="s">
        <v>389</v>
      </c>
      <c r="B413" s="123"/>
      <c r="C413" s="27">
        <v>826261630</v>
      </c>
      <c r="D413" s="27">
        <v>923040990</v>
      </c>
      <c r="E413" s="7"/>
    </row>
    <row r="414" spans="1:5" ht="20.25" customHeight="1">
      <c r="A414" s="115" t="s">
        <v>390</v>
      </c>
      <c r="B414" s="123"/>
      <c r="C414" s="27">
        <v>3811179929</v>
      </c>
      <c r="D414" s="27">
        <v>7599629936</v>
      </c>
      <c r="E414" s="7"/>
    </row>
    <row r="415" spans="1:5" ht="20.25" customHeight="1">
      <c r="A415" s="124" t="s">
        <v>391</v>
      </c>
      <c r="B415" s="125"/>
      <c r="C415" s="27">
        <v>4172164166</v>
      </c>
      <c r="D415" s="27">
        <v>8577395284</v>
      </c>
      <c r="E415" s="7"/>
    </row>
    <row r="416" spans="1:5" ht="20.25" customHeight="1">
      <c r="A416" s="74"/>
      <c r="B416" s="58" t="s">
        <v>313</v>
      </c>
      <c r="C416" s="60">
        <f>C405+C408+SUM(C412:C415)</f>
        <v>42895452352</v>
      </c>
      <c r="D416" s="60">
        <f>D405+D408+SUM(D412:D415)</f>
        <v>86186106483</v>
      </c>
      <c r="E416" s="24"/>
    </row>
    <row r="417" spans="1:10" ht="21" customHeight="1">
      <c r="A417" s="6" t="s">
        <v>392</v>
      </c>
      <c r="C417" s="7"/>
      <c r="D417" s="7"/>
      <c r="E417" s="7"/>
      <c r="F417" s="7"/>
    </row>
    <row r="418" spans="1:10" ht="24" customHeight="1">
      <c r="A418" s="192"/>
      <c r="B418" s="193"/>
      <c r="C418" s="232" t="s">
        <v>654</v>
      </c>
      <c r="D418" s="232"/>
      <c r="E418" s="232"/>
    </row>
    <row r="419" spans="1:10" s="35" customFormat="1" ht="18" customHeight="1">
      <c r="A419" s="240" t="s">
        <v>562</v>
      </c>
      <c r="B419" s="240"/>
      <c r="C419" s="240"/>
      <c r="D419" s="240"/>
      <c r="E419" s="240"/>
      <c r="F419" s="34"/>
      <c r="G419" s="34"/>
      <c r="H419" s="34"/>
      <c r="J419" s="34"/>
    </row>
    <row r="420" spans="1:10" s="35" customFormat="1" ht="12.75" customHeight="1">
      <c r="A420" s="195"/>
      <c r="B420" s="196"/>
      <c r="C420" s="417"/>
      <c r="D420" s="417"/>
      <c r="E420" s="9"/>
      <c r="F420" s="34"/>
      <c r="G420" s="34"/>
      <c r="H420" s="34"/>
      <c r="J420" s="34"/>
    </row>
    <row r="421" spans="1:10" ht="15.75">
      <c r="A421" s="197"/>
      <c r="B421" s="193"/>
      <c r="C421" s="193"/>
      <c r="D421" s="126"/>
      <c r="E421" s="126"/>
    </row>
    <row r="422" spans="1:10" ht="15.75">
      <c r="A422" s="197"/>
      <c r="B422" s="193"/>
      <c r="C422" s="193"/>
      <c r="D422" s="126"/>
      <c r="E422" s="126"/>
    </row>
    <row r="423" spans="1:10" ht="15.75">
      <c r="A423" s="197"/>
      <c r="B423" s="193"/>
      <c r="C423" s="193"/>
      <c r="D423" s="126"/>
      <c r="E423" s="126"/>
    </row>
    <row r="424" spans="1:10" ht="13.5" customHeight="1">
      <c r="A424" s="197"/>
      <c r="B424" s="193"/>
      <c r="C424" s="193"/>
      <c r="D424" s="126"/>
      <c r="E424" s="126"/>
    </row>
    <row r="425" spans="1:10" s="146" customFormat="1" ht="15">
      <c r="A425" s="239" t="s">
        <v>563</v>
      </c>
      <c r="B425" s="239"/>
      <c r="C425" s="239"/>
      <c r="D425" s="236"/>
      <c r="E425" s="236"/>
      <c r="J425" s="281"/>
    </row>
  </sheetData>
  <mergeCells count="6">
    <mergeCell ref="C420:D420"/>
    <mergeCell ref="A1:D1"/>
    <mergeCell ref="A192:D192"/>
    <mergeCell ref="A49:E49"/>
    <mergeCell ref="A5:E5"/>
    <mergeCell ref="A6:E6"/>
  </mergeCells>
  <phoneticPr fontId="14" type="noConversion"/>
  <pageMargins left="0.84" right="0.19" top="0.22" bottom="0.18" header="0.22" footer="0.16"/>
  <pageSetup paperSize="9" orientation="portrait" r:id="rId1"/>
  <headerFooter alignWithMargins="0">
    <oddFooter>&amp;R&amp;"VnBravo Times,Italic"TMBCTC quÝ II-2013/Trang 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workbookViewId="0">
      <selection activeCell="E111" sqref="A1:F111"/>
    </sheetView>
  </sheetViews>
  <sheetFormatPr defaultRowHeight="15"/>
  <cols>
    <col min="1" max="1" width="49.85546875" style="2" customWidth="1"/>
    <col min="2" max="2" width="8" style="1" customWidth="1"/>
    <col min="3" max="3" width="7.5703125" style="1" customWidth="1"/>
    <col min="4" max="4" width="18.28515625" style="2" customWidth="1"/>
    <col min="5" max="5" width="18" style="2" customWidth="1"/>
    <col min="6" max="7" width="22.85546875" style="2" hidden="1" customWidth="1"/>
    <col min="8" max="8" width="23.140625" style="2" hidden="1" customWidth="1"/>
    <col min="9" max="10" width="9.140625" style="2"/>
    <col min="11" max="11" width="15.42578125" style="2" bestFit="1" customWidth="1"/>
    <col min="12" max="12" width="18" style="2" customWidth="1"/>
    <col min="13" max="16384" width="9.140625" style="2"/>
  </cols>
  <sheetData>
    <row r="1" spans="1:8" customFormat="1" ht="23.25" customHeight="1">
      <c r="A1" s="132" t="s">
        <v>402</v>
      </c>
      <c r="B1" s="37"/>
      <c r="C1" s="411" t="s">
        <v>405</v>
      </c>
      <c r="D1" s="411"/>
      <c r="E1" s="411"/>
      <c r="F1" s="411"/>
    </row>
    <row r="2" spans="1:8" customFormat="1" ht="16.5" customHeight="1">
      <c r="A2" s="133" t="s">
        <v>404</v>
      </c>
      <c r="B2" s="37"/>
      <c r="C2" s="426" t="s">
        <v>56</v>
      </c>
      <c r="D2" s="426"/>
      <c r="E2" s="426"/>
      <c r="F2" s="426"/>
    </row>
    <row r="3" spans="1:8" customFormat="1" ht="14.25" customHeight="1">
      <c r="A3" s="427" t="s">
        <v>599</v>
      </c>
      <c r="B3" s="427"/>
      <c r="C3" s="427"/>
      <c r="D3" s="427"/>
      <c r="E3" s="427"/>
      <c r="F3" s="427"/>
    </row>
    <row r="4" spans="1:8" ht="27.75" customHeight="1">
      <c r="A4" s="428" t="s">
        <v>90</v>
      </c>
      <c r="B4" s="428"/>
      <c r="C4" s="428"/>
      <c r="D4" s="428"/>
      <c r="E4" s="428"/>
    </row>
    <row r="5" spans="1:8" ht="15" customHeight="1">
      <c r="A5" s="424" t="s">
        <v>621</v>
      </c>
      <c r="B5" s="424"/>
      <c r="C5" s="424"/>
      <c r="D5" s="424"/>
      <c r="E5" s="424"/>
    </row>
    <row r="6" spans="1:8" ht="15.75">
      <c r="B6" s="8"/>
      <c r="C6" s="25"/>
      <c r="E6" s="26" t="s">
        <v>91</v>
      </c>
    </row>
    <row r="7" spans="1:8" ht="17.25" customHeight="1">
      <c r="A7" s="156" t="s">
        <v>92</v>
      </c>
      <c r="B7" s="114" t="s">
        <v>93</v>
      </c>
      <c r="C7" s="114" t="s">
        <v>94</v>
      </c>
      <c r="D7" s="114" t="s">
        <v>406</v>
      </c>
      <c r="E7" s="114" t="s">
        <v>95</v>
      </c>
      <c r="F7" s="16" t="s">
        <v>96</v>
      </c>
      <c r="G7" s="16" t="s">
        <v>97</v>
      </c>
      <c r="H7" s="16"/>
    </row>
    <row r="8" spans="1:8" s="146" customFormat="1" ht="15.75" customHeight="1">
      <c r="A8" s="198" t="s">
        <v>428</v>
      </c>
      <c r="B8" s="157">
        <v>100</v>
      </c>
      <c r="C8" s="157"/>
      <c r="D8" s="158">
        <f>D9+D12+D15+D22+D25</f>
        <v>91343434509</v>
      </c>
      <c r="E8" s="158">
        <f>E9+E12+E15+E22+E25</f>
        <v>94604203858</v>
      </c>
      <c r="F8" s="145" t="e">
        <f>F9+F12+F15+F22+F25+#REF!</f>
        <v>#REF!</v>
      </c>
      <c r="G8" s="145" t="e">
        <f>G9+G12+G15+G22+G25+#REF!</f>
        <v>#REF!</v>
      </c>
      <c r="H8" s="145" t="e">
        <f>H9+H12+H15+H22+H25+#REF!</f>
        <v>#REF!</v>
      </c>
    </row>
    <row r="9" spans="1:8" s="146" customFormat="1" ht="15.75" customHeight="1">
      <c r="A9" s="159" t="s">
        <v>98</v>
      </c>
      <c r="B9" s="160">
        <v>110</v>
      </c>
      <c r="C9" s="160"/>
      <c r="D9" s="161">
        <f>D10+D11</f>
        <v>3523409785</v>
      </c>
      <c r="E9" s="161">
        <f>E10+E11</f>
        <v>15958240452</v>
      </c>
      <c r="F9" s="147" t="e">
        <f>F10+F11+#REF!</f>
        <v>#REF!</v>
      </c>
      <c r="G9" s="147" t="e">
        <f>G10+G11+#REF!</f>
        <v>#REF!</v>
      </c>
      <c r="H9" s="147" t="e">
        <f>H10+H11+#REF!</f>
        <v>#REF!</v>
      </c>
    </row>
    <row r="10" spans="1:8" s="146" customFormat="1" ht="15.75" customHeight="1">
      <c r="A10" s="162" t="s">
        <v>99</v>
      </c>
      <c r="B10" s="163">
        <v>111</v>
      </c>
      <c r="C10" s="163" t="s">
        <v>100</v>
      </c>
      <c r="D10" s="164">
        <f>TMBC!C162+TMBC!C163</f>
        <v>2523409785</v>
      </c>
      <c r="E10" s="164">
        <v>10958240452</v>
      </c>
      <c r="F10" s="148">
        <v>241018495</v>
      </c>
      <c r="G10" s="148">
        <v>157167058</v>
      </c>
      <c r="H10" s="148">
        <v>1814674</v>
      </c>
    </row>
    <row r="11" spans="1:8" s="146" customFormat="1" ht="15.75" customHeight="1">
      <c r="A11" s="162" t="s">
        <v>101</v>
      </c>
      <c r="B11" s="163">
        <v>112</v>
      </c>
      <c r="C11" s="163"/>
      <c r="D11" s="164">
        <f>TMBC!C164</f>
        <v>1000000000</v>
      </c>
      <c r="E11" s="164">
        <v>5000000000</v>
      </c>
      <c r="F11" s="148">
        <f>226062951+18952683+300000000+9217260+239603804+3276000000</f>
        <v>4069836698</v>
      </c>
      <c r="G11" s="148">
        <f>277752365+51108405+300000000+8764275+39760730+3526000000</f>
        <v>4203385775</v>
      </c>
      <c r="H11" s="148">
        <f>745811821+24986919+2160000000+46000000+8439308+39760730+3626000000</f>
        <v>6650998778</v>
      </c>
    </row>
    <row r="12" spans="1:8" s="146" customFormat="1" ht="15.75" customHeight="1">
      <c r="A12" s="159" t="s">
        <v>102</v>
      </c>
      <c r="B12" s="160">
        <v>120</v>
      </c>
      <c r="C12" s="163" t="s">
        <v>103</v>
      </c>
      <c r="D12" s="161">
        <f>D13+D14</f>
        <v>2000000000</v>
      </c>
      <c r="E12" s="161">
        <f>E13+E14</f>
        <v>2000000000</v>
      </c>
      <c r="F12" s="147" t="e">
        <f>F13+#REF!+F14</f>
        <v>#REF!</v>
      </c>
      <c r="G12" s="147" t="e">
        <f>G13+#REF!+G14</f>
        <v>#REF!</v>
      </c>
      <c r="H12" s="147" t="e">
        <f>H13+#REF!+H14</f>
        <v>#REF!</v>
      </c>
    </row>
    <row r="13" spans="1:8" s="146" customFormat="1" ht="15.75" customHeight="1">
      <c r="A13" s="162" t="s">
        <v>104</v>
      </c>
      <c r="B13" s="163">
        <v>121</v>
      </c>
      <c r="C13" s="163"/>
      <c r="D13" s="164">
        <f>TMBC!C173</f>
        <v>2000000000</v>
      </c>
      <c r="E13" s="164">
        <v>2000000000</v>
      </c>
      <c r="F13" s="148"/>
      <c r="G13" s="148"/>
      <c r="H13" s="148"/>
    </row>
    <row r="14" spans="1:8" s="146" customFormat="1" ht="15.75" customHeight="1">
      <c r="A14" s="162" t="s">
        <v>105</v>
      </c>
      <c r="B14" s="163">
        <v>129</v>
      </c>
      <c r="C14" s="163"/>
      <c r="D14" s="164"/>
      <c r="E14" s="164"/>
      <c r="F14" s="148"/>
      <c r="G14" s="148"/>
      <c r="H14" s="148"/>
    </row>
    <row r="15" spans="1:8" s="146" customFormat="1" ht="15.75" customHeight="1">
      <c r="A15" s="159" t="s">
        <v>106</v>
      </c>
      <c r="B15" s="160">
        <v>130</v>
      </c>
      <c r="C15" s="160"/>
      <c r="D15" s="161">
        <f>D16+D17+D18+D19+D20+D21</f>
        <v>36338742365</v>
      </c>
      <c r="E15" s="161">
        <f>E16+E17+E18+E19+E20+E21</f>
        <v>31235779809</v>
      </c>
      <c r="F15" s="147" t="e">
        <f>F16+F17+F18+F19+F20+F21</f>
        <v>#REF!</v>
      </c>
      <c r="G15" s="147" t="e">
        <f>G16+G17+G18+G19+G20+G21</f>
        <v>#REF!</v>
      </c>
      <c r="H15" s="147" t="e">
        <f>H16+H17+H18+H19+H20+H21</f>
        <v>#REF!</v>
      </c>
    </row>
    <row r="16" spans="1:8" s="146" customFormat="1" ht="15.75" customHeight="1">
      <c r="A16" s="162" t="s">
        <v>107</v>
      </c>
      <c r="B16" s="163">
        <v>131</v>
      </c>
      <c r="C16" s="163"/>
      <c r="D16" s="164">
        <v>32815522489</v>
      </c>
      <c r="E16" s="164">
        <v>36318280293</v>
      </c>
      <c r="F16" s="148">
        <v>12578049321</v>
      </c>
      <c r="G16" s="148">
        <v>10130146218</v>
      </c>
      <c r="H16" s="148">
        <v>11600741663</v>
      </c>
    </row>
    <row r="17" spans="1:8" s="146" customFormat="1" ht="15.75" customHeight="1">
      <c r="A17" s="162" t="s">
        <v>108</v>
      </c>
      <c r="B17" s="163">
        <v>132</v>
      </c>
      <c r="C17" s="163"/>
      <c r="D17" s="164">
        <v>9491291000</v>
      </c>
      <c r="E17" s="164">
        <v>835496022</v>
      </c>
      <c r="F17" s="148">
        <v>469580427</v>
      </c>
      <c r="G17" s="148">
        <v>556031929</v>
      </c>
      <c r="H17" s="148">
        <v>356959933</v>
      </c>
    </row>
    <row r="18" spans="1:8" s="146" customFormat="1" ht="15.75" customHeight="1">
      <c r="A18" s="162" t="s">
        <v>109</v>
      </c>
      <c r="B18" s="163">
        <v>133</v>
      </c>
      <c r="C18" s="163"/>
      <c r="D18" s="164"/>
      <c r="E18" s="164"/>
      <c r="F18" s="148"/>
      <c r="G18" s="148"/>
      <c r="H18" s="148"/>
    </row>
    <row r="19" spans="1:8" s="146" customFormat="1" ht="15.75" customHeight="1">
      <c r="A19" s="162" t="s">
        <v>110</v>
      </c>
      <c r="B19" s="163">
        <v>134</v>
      </c>
      <c r="C19" s="163"/>
      <c r="D19" s="164"/>
      <c r="E19" s="164"/>
      <c r="F19" s="148" t="e">
        <f>#REF!+#REF!</f>
        <v>#REF!</v>
      </c>
      <c r="G19" s="148" t="e">
        <f>#REF!+#REF!</f>
        <v>#REF!</v>
      </c>
      <c r="H19" s="148" t="e">
        <f>#REF!+#REF!</f>
        <v>#REF!</v>
      </c>
    </row>
    <row r="20" spans="1:8" s="146" customFormat="1" ht="15.75" customHeight="1">
      <c r="A20" s="162" t="s">
        <v>111</v>
      </c>
      <c r="B20" s="163">
        <v>135</v>
      </c>
      <c r="C20" s="163" t="s">
        <v>112</v>
      </c>
      <c r="D20" s="164">
        <f>TMBC!C181</f>
        <v>76913530</v>
      </c>
      <c r="E20" s="164">
        <v>269221634</v>
      </c>
      <c r="F20" s="148">
        <f>98071329+850000+24353800+8938385+24542753</f>
        <v>156756267</v>
      </c>
      <c r="G20" s="148">
        <f>81598339+15936400+8814185+37982753</f>
        <v>144331677</v>
      </c>
      <c r="H20" s="148">
        <f>77312507+28581300+8378061+15175353</f>
        <v>129447221</v>
      </c>
    </row>
    <row r="21" spans="1:8" s="146" customFormat="1" ht="15.75" customHeight="1">
      <c r="A21" s="162" t="s">
        <v>113</v>
      </c>
      <c r="B21" s="163">
        <v>139</v>
      </c>
      <c r="C21" s="163"/>
      <c r="D21" s="165">
        <v>-6044984654</v>
      </c>
      <c r="E21" s="165">
        <v>-6187218140</v>
      </c>
      <c r="F21" s="148">
        <v>-447227630</v>
      </c>
      <c r="G21" s="148">
        <v>-447227630</v>
      </c>
      <c r="H21" s="148"/>
    </row>
    <row r="22" spans="1:8" s="146" customFormat="1" ht="15.75" customHeight="1">
      <c r="A22" s="159" t="s">
        <v>114</v>
      </c>
      <c r="B22" s="160">
        <v>140</v>
      </c>
      <c r="C22" s="160"/>
      <c r="D22" s="161">
        <f>SUM(D23:D24)</f>
        <v>48078868056</v>
      </c>
      <c r="E22" s="161">
        <f>SUM(E23:E24)</f>
        <v>41884130197</v>
      </c>
      <c r="F22" s="147">
        <f>SUM(F23:F24)</f>
        <v>-413924000</v>
      </c>
      <c r="G22" s="147">
        <f>SUM(G23:G24)</f>
        <v>-413924000</v>
      </c>
      <c r="H22" s="147">
        <f>SUM(H23:H24)</f>
        <v>0</v>
      </c>
    </row>
    <row r="23" spans="1:8" s="146" customFormat="1" ht="15.75" customHeight="1">
      <c r="A23" s="162" t="s">
        <v>115</v>
      </c>
      <c r="B23" s="163">
        <v>141</v>
      </c>
      <c r="C23" s="163" t="s">
        <v>116</v>
      </c>
      <c r="D23" s="164">
        <f>TMBC!C190</f>
        <v>48078868056</v>
      </c>
      <c r="E23" s="164">
        <v>41884130197</v>
      </c>
      <c r="F23" s="148"/>
      <c r="G23" s="148"/>
      <c r="H23" s="148"/>
    </row>
    <row r="24" spans="1:8" s="146" customFormat="1" ht="15.75" customHeight="1">
      <c r="A24" s="162" t="s">
        <v>117</v>
      </c>
      <c r="B24" s="163">
        <v>149</v>
      </c>
      <c r="C24" s="163"/>
      <c r="D24" s="165"/>
      <c r="E24" s="165"/>
      <c r="F24" s="148">
        <v>-413924000</v>
      </c>
      <c r="G24" s="148">
        <v>-413924000</v>
      </c>
      <c r="H24" s="148"/>
    </row>
    <row r="25" spans="1:8" s="146" customFormat="1" ht="15.75" customHeight="1">
      <c r="A25" s="159" t="s">
        <v>118</v>
      </c>
      <c r="B25" s="160">
        <v>150</v>
      </c>
      <c r="C25" s="160"/>
      <c r="D25" s="161">
        <f>SUM(D26:D29)</f>
        <v>1402414303</v>
      </c>
      <c r="E25" s="161">
        <f>SUM(E26:E29)</f>
        <v>3526053400</v>
      </c>
      <c r="F25" s="147">
        <f>SUM(F26:F29)</f>
        <v>515531811</v>
      </c>
      <c r="G25" s="147">
        <f>SUM(G26:G29)</f>
        <v>651799394</v>
      </c>
      <c r="H25" s="147">
        <f>SUM(H26:H29)</f>
        <v>713841355</v>
      </c>
    </row>
    <row r="26" spans="1:8" s="146" customFormat="1" ht="16.5" customHeight="1">
      <c r="A26" s="162" t="s">
        <v>119</v>
      </c>
      <c r="B26" s="163">
        <v>151</v>
      </c>
      <c r="C26" s="163"/>
      <c r="D26" s="164">
        <v>244116000</v>
      </c>
      <c r="E26" s="164">
        <v>457307714</v>
      </c>
      <c r="F26" s="148">
        <v>495239811</v>
      </c>
      <c r="G26" s="148">
        <v>624086394</v>
      </c>
      <c r="H26" s="148">
        <v>338743106</v>
      </c>
    </row>
    <row r="27" spans="1:8" s="146" customFormat="1" ht="16.5" customHeight="1">
      <c r="A27" s="162" t="s">
        <v>120</v>
      </c>
      <c r="B27" s="163">
        <v>152</v>
      </c>
      <c r="C27" s="163"/>
      <c r="D27" s="164"/>
      <c r="E27" s="164"/>
      <c r="F27" s="148"/>
      <c r="G27" s="148"/>
      <c r="H27" s="148"/>
    </row>
    <row r="28" spans="1:8" s="146" customFormat="1" ht="16.5" customHeight="1">
      <c r="A28" s="162" t="s">
        <v>121</v>
      </c>
      <c r="B28" s="163">
        <v>154</v>
      </c>
      <c r="C28" s="163" t="s">
        <v>122</v>
      </c>
      <c r="D28" s="164">
        <f>TMBC!C196</f>
        <v>0</v>
      </c>
      <c r="E28" s="164">
        <v>110088483</v>
      </c>
      <c r="F28" s="148"/>
      <c r="G28" s="148"/>
      <c r="H28" s="148"/>
    </row>
    <row r="29" spans="1:8" s="146" customFormat="1" ht="16.5" customHeight="1">
      <c r="A29" s="162" t="s">
        <v>123</v>
      </c>
      <c r="B29" s="163">
        <v>158</v>
      </c>
      <c r="C29" s="163"/>
      <c r="D29" s="164">
        <f>TMBC!C201</f>
        <v>1158298303</v>
      </c>
      <c r="E29" s="164">
        <v>2958657203</v>
      </c>
      <c r="F29" s="148">
        <v>20292000</v>
      </c>
      <c r="G29" s="148">
        <v>27713000</v>
      </c>
      <c r="H29" s="148">
        <v>375098249</v>
      </c>
    </row>
    <row r="30" spans="1:8" s="146" customFormat="1" ht="17.25" customHeight="1">
      <c r="A30" s="166" t="s">
        <v>427</v>
      </c>
      <c r="B30" s="167">
        <v>200</v>
      </c>
      <c r="C30" s="167"/>
      <c r="D30" s="168">
        <f>D37+D51+D56+D31</f>
        <v>65631611548.527779</v>
      </c>
      <c r="E30" s="168">
        <f>E37+E51+E56+E31</f>
        <v>68479768667</v>
      </c>
      <c r="F30" s="149">
        <f>F37+F51+F56+F57</f>
        <v>6537970346</v>
      </c>
      <c r="G30" s="149">
        <f>G37+G51+G56+G57</f>
        <v>6782346019</v>
      </c>
      <c r="H30" s="149">
        <f>H37+H51+H56+H57</f>
        <v>28302994746</v>
      </c>
    </row>
    <row r="31" spans="1:8" s="146" customFormat="1" ht="17.25" customHeight="1">
      <c r="A31" s="159" t="s">
        <v>124</v>
      </c>
      <c r="B31" s="169">
        <v>210</v>
      </c>
      <c r="C31" s="170"/>
      <c r="D31" s="159">
        <f>SUM(D32:D36)</f>
        <v>0</v>
      </c>
      <c r="E31" s="159">
        <f>SUM(E32:E36)</f>
        <v>0</v>
      </c>
      <c r="F31" s="149"/>
      <c r="G31" s="149"/>
      <c r="H31" s="149"/>
    </row>
    <row r="32" spans="1:8" s="146" customFormat="1" ht="17.25" customHeight="1">
      <c r="A32" s="162" t="s">
        <v>125</v>
      </c>
      <c r="B32" s="170">
        <v>211</v>
      </c>
      <c r="C32" s="170"/>
      <c r="D32" s="162">
        <v>0</v>
      </c>
      <c r="E32" s="162"/>
      <c r="F32" s="149"/>
      <c r="G32" s="149"/>
      <c r="H32" s="149"/>
    </row>
    <row r="33" spans="1:8" s="146" customFormat="1" ht="16.5" hidden="1" customHeight="1">
      <c r="A33" s="162" t="s">
        <v>126</v>
      </c>
      <c r="B33" s="170">
        <v>212</v>
      </c>
      <c r="C33" s="170"/>
      <c r="D33" s="162"/>
      <c r="E33" s="162"/>
      <c r="F33" s="149"/>
      <c r="G33" s="149"/>
      <c r="H33" s="149"/>
    </row>
    <row r="34" spans="1:8" s="146" customFormat="1" ht="16.5" hidden="1" customHeight="1">
      <c r="A34" s="162" t="s">
        <v>127</v>
      </c>
      <c r="B34" s="170">
        <v>213</v>
      </c>
      <c r="C34" s="170" t="s">
        <v>128</v>
      </c>
      <c r="D34" s="162"/>
      <c r="E34" s="162"/>
      <c r="F34" s="149"/>
      <c r="G34" s="149"/>
      <c r="H34" s="149"/>
    </row>
    <row r="35" spans="1:8" s="146" customFormat="1" ht="16.5" hidden="1" customHeight="1">
      <c r="A35" s="162" t="s">
        <v>129</v>
      </c>
      <c r="B35" s="170">
        <v>214</v>
      </c>
      <c r="C35" s="170" t="s">
        <v>130</v>
      </c>
      <c r="D35" s="162"/>
      <c r="E35" s="162"/>
      <c r="F35" s="149"/>
      <c r="G35" s="149"/>
      <c r="H35" s="149"/>
    </row>
    <row r="36" spans="1:8" s="146" customFormat="1" ht="16.5" hidden="1" customHeight="1">
      <c r="A36" s="162" t="s">
        <v>131</v>
      </c>
      <c r="B36" s="170">
        <v>219</v>
      </c>
      <c r="C36" s="170"/>
      <c r="D36" s="162"/>
      <c r="E36" s="162"/>
      <c r="F36" s="149"/>
      <c r="G36" s="149"/>
      <c r="H36" s="149"/>
    </row>
    <row r="37" spans="1:8" s="146" customFormat="1" ht="17.25" customHeight="1">
      <c r="A37" s="159" t="s">
        <v>132</v>
      </c>
      <c r="B37" s="160">
        <v>220</v>
      </c>
      <c r="C37" s="160"/>
      <c r="D37" s="161">
        <f>D38+D41+D44+D47</f>
        <v>64101319374</v>
      </c>
      <c r="E37" s="161">
        <f>E38+E41+E44+E47</f>
        <v>66720495791</v>
      </c>
      <c r="F37" s="147">
        <f>F38+F41+F44</f>
        <v>5000740666</v>
      </c>
      <c r="G37" s="147">
        <f>G38+G41+G44</f>
        <v>5079948339</v>
      </c>
      <c r="H37" s="147">
        <f>H38+H41+H44</f>
        <v>4991375091</v>
      </c>
    </row>
    <row r="38" spans="1:8" s="146" customFormat="1" ht="17.25" customHeight="1">
      <c r="A38" s="162" t="s">
        <v>133</v>
      </c>
      <c r="B38" s="163">
        <v>221</v>
      </c>
      <c r="C38" s="163" t="s">
        <v>134</v>
      </c>
      <c r="D38" s="164">
        <f>D39+D40</f>
        <v>61422104528</v>
      </c>
      <c r="E38" s="164">
        <f>E39+E40</f>
        <v>57300595518</v>
      </c>
      <c r="F38" s="148">
        <f>F39+F40</f>
        <v>5000740666</v>
      </c>
      <c r="G38" s="148">
        <f>G39+G40</f>
        <v>5079948339</v>
      </c>
      <c r="H38" s="148">
        <f>H39+H40</f>
        <v>4991375091</v>
      </c>
    </row>
    <row r="39" spans="1:8" s="146" customFormat="1" ht="17.25" customHeight="1">
      <c r="A39" s="171" t="s">
        <v>135</v>
      </c>
      <c r="B39" s="172">
        <v>222</v>
      </c>
      <c r="C39" s="172"/>
      <c r="D39" s="173">
        <v>100406134256</v>
      </c>
      <c r="E39" s="173">
        <v>93618650565</v>
      </c>
      <c r="F39" s="150">
        <v>14259282718</v>
      </c>
      <c r="G39" s="150">
        <v>14623274582</v>
      </c>
      <c r="H39" s="148">
        <v>14581374693</v>
      </c>
    </row>
    <row r="40" spans="1:8" s="146" customFormat="1" ht="17.25" customHeight="1">
      <c r="A40" s="171" t="s">
        <v>136</v>
      </c>
      <c r="B40" s="172">
        <v>223</v>
      </c>
      <c r="C40" s="172"/>
      <c r="D40" s="174">
        <v>-38984029728</v>
      </c>
      <c r="E40" s="174">
        <v>-36318055047</v>
      </c>
      <c r="F40" s="150">
        <v>-9258542052</v>
      </c>
      <c r="G40" s="150">
        <v>-9543326243</v>
      </c>
      <c r="H40" s="150">
        <v>-9589999602</v>
      </c>
    </row>
    <row r="41" spans="1:8" s="146" customFormat="1" ht="16.5" hidden="1" customHeight="1">
      <c r="A41" s="162" t="s">
        <v>137</v>
      </c>
      <c r="B41" s="163">
        <v>224</v>
      </c>
      <c r="C41" s="163" t="s">
        <v>138</v>
      </c>
      <c r="D41" s="164">
        <f>D42-D43</f>
        <v>0</v>
      </c>
      <c r="E41" s="164">
        <f>E42-E43</f>
        <v>0</v>
      </c>
      <c r="F41" s="148"/>
      <c r="G41" s="148"/>
      <c r="H41" s="148"/>
    </row>
    <row r="42" spans="1:8" s="146" customFormat="1" ht="16.5" hidden="1" customHeight="1">
      <c r="A42" s="171" t="s">
        <v>135</v>
      </c>
      <c r="B42" s="172">
        <v>225</v>
      </c>
      <c r="C42" s="172"/>
      <c r="D42" s="173"/>
      <c r="E42" s="173"/>
      <c r="F42" s="150"/>
      <c r="G42" s="150"/>
      <c r="H42" s="150"/>
    </row>
    <row r="43" spans="1:8" s="146" customFormat="1" ht="16.5" hidden="1" customHeight="1">
      <c r="A43" s="171" t="s">
        <v>136</v>
      </c>
      <c r="B43" s="172">
        <v>226</v>
      </c>
      <c r="C43" s="172"/>
      <c r="D43" s="173"/>
      <c r="E43" s="173"/>
      <c r="F43" s="150"/>
      <c r="G43" s="150"/>
      <c r="H43" s="150"/>
    </row>
    <row r="44" spans="1:8" s="146" customFormat="1" ht="17.25" customHeight="1">
      <c r="A44" s="162" t="s">
        <v>139</v>
      </c>
      <c r="B44" s="163">
        <v>227</v>
      </c>
      <c r="C44" s="163" t="s">
        <v>140</v>
      </c>
      <c r="D44" s="164">
        <f>D45+D46</f>
        <v>2124306296</v>
      </c>
      <c r="E44" s="164">
        <f>E45+E46</f>
        <v>2205812378</v>
      </c>
      <c r="F44" s="148"/>
      <c r="G44" s="148"/>
      <c r="H44" s="148"/>
    </row>
    <row r="45" spans="1:8" s="146" customFormat="1" ht="17.25" customHeight="1">
      <c r="A45" s="171" t="s">
        <v>135</v>
      </c>
      <c r="B45" s="172">
        <v>228</v>
      </c>
      <c r="C45" s="172"/>
      <c r="D45" s="173">
        <v>3038689253</v>
      </c>
      <c r="E45" s="173">
        <v>3038689253</v>
      </c>
      <c r="F45" s="150"/>
      <c r="G45" s="150"/>
      <c r="H45" s="150"/>
    </row>
    <row r="46" spans="1:8" s="146" customFormat="1" ht="17.25" customHeight="1">
      <c r="A46" s="171" t="s">
        <v>136</v>
      </c>
      <c r="B46" s="172">
        <v>229</v>
      </c>
      <c r="C46" s="172"/>
      <c r="D46" s="174">
        <v>-914382957</v>
      </c>
      <c r="E46" s="174">
        <v>-832876875</v>
      </c>
      <c r="F46" s="150"/>
      <c r="G46" s="150"/>
      <c r="H46" s="150"/>
    </row>
    <row r="47" spans="1:8" s="146" customFormat="1" ht="17.25" customHeight="1">
      <c r="A47" s="162" t="s">
        <v>141</v>
      </c>
      <c r="B47" s="172">
        <v>230</v>
      </c>
      <c r="C47" s="163" t="s">
        <v>143</v>
      </c>
      <c r="D47" s="164">
        <f>TMBC!C271+46535000</f>
        <v>554908550</v>
      </c>
      <c r="E47" s="164">
        <v>7214087895</v>
      </c>
      <c r="F47" s="150"/>
      <c r="G47" s="150"/>
      <c r="H47" s="150"/>
    </row>
    <row r="48" spans="1:8" s="146" customFormat="1" ht="17.25" customHeight="1">
      <c r="A48" s="159" t="s">
        <v>142</v>
      </c>
      <c r="B48" s="160">
        <v>240</v>
      </c>
      <c r="C48" s="160"/>
      <c r="D48" s="161">
        <f>D49+D50</f>
        <v>0</v>
      </c>
      <c r="E48" s="161">
        <f>E49+E50</f>
        <v>0</v>
      </c>
      <c r="F48" s="150"/>
      <c r="G48" s="150"/>
      <c r="H48" s="150"/>
    </row>
    <row r="49" spans="1:8" s="146" customFormat="1" ht="16.5" hidden="1" customHeight="1">
      <c r="A49" s="175" t="s">
        <v>144</v>
      </c>
      <c r="B49" s="172">
        <v>241</v>
      </c>
      <c r="C49" s="163"/>
      <c r="D49" s="164"/>
      <c r="E49" s="164"/>
      <c r="F49" s="150"/>
      <c r="G49" s="150"/>
      <c r="H49" s="150"/>
    </row>
    <row r="50" spans="1:8" s="146" customFormat="1" ht="16.5" hidden="1" customHeight="1">
      <c r="A50" s="175" t="s">
        <v>145</v>
      </c>
      <c r="B50" s="172">
        <v>242</v>
      </c>
      <c r="C50" s="163"/>
      <c r="D50" s="164"/>
      <c r="E50" s="164"/>
      <c r="F50" s="150"/>
      <c r="G50" s="150"/>
      <c r="H50" s="150"/>
    </row>
    <row r="51" spans="1:8" s="146" customFormat="1" ht="17.25" customHeight="1">
      <c r="A51" s="159" t="s">
        <v>146</v>
      </c>
      <c r="B51" s="160">
        <v>250</v>
      </c>
      <c r="C51" s="160"/>
      <c r="D51" s="161">
        <v>0</v>
      </c>
      <c r="E51" s="161">
        <f>SUM(E52:E55)</f>
        <v>0</v>
      </c>
      <c r="F51" s="147">
        <f>SUM(F52:F55)</f>
        <v>1537229680</v>
      </c>
      <c r="G51" s="147">
        <f>SUM(G52:G55)</f>
        <v>1537229680</v>
      </c>
      <c r="H51" s="147">
        <f>SUM(H52:H55)</f>
        <v>21084287320</v>
      </c>
    </row>
    <row r="52" spans="1:8" s="146" customFormat="1" ht="16.5" hidden="1" customHeight="1">
      <c r="A52" s="162" t="s">
        <v>147</v>
      </c>
      <c r="B52" s="163">
        <v>251</v>
      </c>
      <c r="C52" s="163"/>
      <c r="D52" s="164"/>
      <c r="E52" s="164"/>
      <c r="F52" s="148"/>
      <c r="G52" s="148"/>
      <c r="H52" s="148"/>
    </row>
    <row r="53" spans="1:8" s="146" customFormat="1" ht="16.5" hidden="1" customHeight="1">
      <c r="A53" s="162" t="s">
        <v>148</v>
      </c>
      <c r="B53" s="163">
        <v>252</v>
      </c>
      <c r="C53" s="163"/>
      <c r="D53" s="164"/>
      <c r="E53" s="164"/>
      <c r="F53" s="148">
        <f>519976500-300146820</f>
        <v>219829680</v>
      </c>
      <c r="G53" s="148">
        <f>519976500-300146820</f>
        <v>219829680</v>
      </c>
      <c r="H53" s="148">
        <f>20067034140-300146820</f>
        <v>19766887320</v>
      </c>
    </row>
    <row r="54" spans="1:8" s="146" customFormat="1" ht="17.25" customHeight="1">
      <c r="A54" s="162" t="s">
        <v>149</v>
      </c>
      <c r="B54" s="163">
        <v>258</v>
      </c>
      <c r="C54" s="163" t="s">
        <v>150</v>
      </c>
      <c r="D54" s="164">
        <v>0</v>
      </c>
      <c r="E54" s="164">
        <v>0</v>
      </c>
      <c r="F54" s="148">
        <v>1317400000</v>
      </c>
      <c r="G54" s="148">
        <v>1317400000</v>
      </c>
      <c r="H54" s="148">
        <v>1317400000</v>
      </c>
    </row>
    <row r="55" spans="1:8" s="146" customFormat="1" ht="16.5" hidden="1" customHeight="1">
      <c r="A55" s="162" t="s">
        <v>151</v>
      </c>
      <c r="B55" s="163">
        <v>259</v>
      </c>
      <c r="C55" s="163"/>
      <c r="D55" s="164"/>
      <c r="E55" s="164"/>
      <c r="F55" s="148"/>
      <c r="G55" s="148"/>
      <c r="H55" s="148"/>
    </row>
    <row r="56" spans="1:8" s="146" customFormat="1" ht="17.25" customHeight="1">
      <c r="A56" s="159" t="s">
        <v>152</v>
      </c>
      <c r="B56" s="160">
        <v>260</v>
      </c>
      <c r="C56" s="176"/>
      <c r="D56" s="161">
        <f>SUM(D57:D59)</f>
        <v>1530292174.5277777</v>
      </c>
      <c r="E56" s="161">
        <f>SUM(E57:E59)</f>
        <v>1759272876</v>
      </c>
      <c r="F56" s="147"/>
      <c r="G56" s="147">
        <v>165168000</v>
      </c>
      <c r="H56" s="147">
        <f>367677035+1859655300</f>
        <v>2227332335</v>
      </c>
    </row>
    <row r="57" spans="1:8" s="146" customFormat="1" ht="15.75" customHeight="1">
      <c r="A57" s="162" t="s">
        <v>153</v>
      </c>
      <c r="B57" s="163">
        <v>261</v>
      </c>
      <c r="C57" s="163" t="s">
        <v>154</v>
      </c>
      <c r="D57" s="164">
        <f>TMBC!C280</f>
        <v>1489269447.5277777</v>
      </c>
      <c r="E57" s="164">
        <v>1718250149</v>
      </c>
      <c r="F57" s="151"/>
      <c r="G57" s="151"/>
      <c r="H57" s="151"/>
    </row>
    <row r="58" spans="1:8" s="146" customFormat="1" ht="15.75" customHeight="1">
      <c r="A58" s="162" t="s">
        <v>155</v>
      </c>
      <c r="B58" s="163">
        <v>262</v>
      </c>
      <c r="C58" s="163" t="s">
        <v>156</v>
      </c>
      <c r="D58" s="164">
        <v>41022727</v>
      </c>
      <c r="E58" s="164">
        <v>41022727</v>
      </c>
      <c r="F58" s="152"/>
      <c r="G58" s="152"/>
      <c r="H58" s="152"/>
    </row>
    <row r="59" spans="1:8" s="146" customFormat="1" ht="15.75" customHeight="1">
      <c r="A59" s="178" t="s">
        <v>157</v>
      </c>
      <c r="B59" s="179">
        <v>268</v>
      </c>
      <c r="C59" s="180"/>
      <c r="D59" s="181"/>
      <c r="E59" s="181"/>
      <c r="F59" s="152"/>
      <c r="G59" s="152"/>
      <c r="H59" s="152"/>
    </row>
    <row r="60" spans="1:8" s="146" customFormat="1" ht="17.25" customHeight="1">
      <c r="A60" s="182" t="s">
        <v>158</v>
      </c>
      <c r="B60" s="191">
        <v>270</v>
      </c>
      <c r="C60" s="183"/>
      <c r="D60" s="184">
        <f>D30+D8</f>
        <v>156975046057.52777</v>
      </c>
      <c r="E60" s="184">
        <f>E30+E8</f>
        <v>163083972525</v>
      </c>
      <c r="F60" s="153" t="e">
        <f>F30+F8</f>
        <v>#REF!</v>
      </c>
      <c r="G60" s="153" t="e">
        <f>G30+G8</f>
        <v>#REF!</v>
      </c>
      <c r="H60" s="153" t="e">
        <f>H30+H8</f>
        <v>#REF!</v>
      </c>
    </row>
    <row r="61" spans="1:8" s="146" customFormat="1" ht="17.25" customHeight="1">
      <c r="A61" s="185"/>
      <c r="B61" s="186"/>
      <c r="C61" s="186"/>
      <c r="D61" s="187"/>
      <c r="E61" s="187"/>
      <c r="F61" s="153"/>
      <c r="G61" s="153"/>
      <c r="H61" s="153"/>
    </row>
    <row r="62" spans="1:8" s="146" customFormat="1" ht="24" customHeight="1">
      <c r="A62" s="156" t="s">
        <v>159</v>
      </c>
      <c r="B62" s="114" t="s">
        <v>93</v>
      </c>
      <c r="C62" s="114" t="s">
        <v>94</v>
      </c>
      <c r="D62" s="114" t="s">
        <v>406</v>
      </c>
      <c r="E62" s="114" t="s">
        <v>95</v>
      </c>
      <c r="F62" s="154" t="s">
        <v>96</v>
      </c>
      <c r="G62" s="154" t="s">
        <v>160</v>
      </c>
      <c r="H62" s="154" t="s">
        <v>161</v>
      </c>
    </row>
    <row r="63" spans="1:8" s="146" customFormat="1" ht="16.5" customHeight="1">
      <c r="A63" s="188" t="s">
        <v>162</v>
      </c>
      <c r="B63" s="189">
        <v>300</v>
      </c>
      <c r="C63" s="189"/>
      <c r="D63" s="158">
        <f>D64+D76</f>
        <v>104095940274</v>
      </c>
      <c r="E63" s="158">
        <f>E64+E76</f>
        <v>113960788798</v>
      </c>
      <c r="F63" s="145" t="e">
        <f>F64+F76+#REF!</f>
        <v>#REF!</v>
      </c>
      <c r="G63" s="145" t="e">
        <f>G64+G76+#REF!</f>
        <v>#REF!</v>
      </c>
      <c r="H63" s="145" t="e">
        <f>H64+H76+#REF!</f>
        <v>#REF!</v>
      </c>
    </row>
    <row r="64" spans="1:8" s="146" customFormat="1" ht="16.5" customHeight="1">
      <c r="A64" s="159" t="s">
        <v>163</v>
      </c>
      <c r="B64" s="160">
        <v>310</v>
      </c>
      <c r="C64" s="160"/>
      <c r="D64" s="161">
        <f>SUM(D65:D75)</f>
        <v>103495940274</v>
      </c>
      <c r="E64" s="161">
        <f>SUM(E65:E75)</f>
        <v>95040948903</v>
      </c>
      <c r="F64" s="149">
        <f>SUM(F65:F73)</f>
        <v>10331924751</v>
      </c>
      <c r="G64" s="149">
        <f>SUM(G65:G73)</f>
        <v>10445523352</v>
      </c>
      <c r="H64" s="149">
        <f>SUM(H65:H73)</f>
        <v>15082431340</v>
      </c>
    </row>
    <row r="65" spans="1:8" s="146" customFormat="1" ht="16.5" customHeight="1">
      <c r="A65" s="162" t="s">
        <v>164</v>
      </c>
      <c r="B65" s="163">
        <v>311</v>
      </c>
      <c r="C65" s="163" t="s">
        <v>165</v>
      </c>
      <c r="D65" s="164">
        <f>TMBC!C289</f>
        <v>35487246473</v>
      </c>
      <c r="E65" s="164">
        <v>27732210980</v>
      </c>
      <c r="F65" s="148"/>
      <c r="G65" s="148"/>
      <c r="H65" s="148"/>
    </row>
    <row r="66" spans="1:8" s="146" customFormat="1" ht="16.5" customHeight="1">
      <c r="A66" s="162" t="s">
        <v>166</v>
      </c>
      <c r="B66" s="163">
        <v>312</v>
      </c>
      <c r="C66" s="163"/>
      <c r="D66" s="164">
        <v>25512161127</v>
      </c>
      <c r="E66" s="164">
        <v>26052473498</v>
      </c>
      <c r="F66" s="148">
        <v>4892222971</v>
      </c>
      <c r="G66" s="148">
        <v>5207918153</v>
      </c>
      <c r="H66" s="148">
        <v>6626911654</v>
      </c>
    </row>
    <row r="67" spans="1:8" s="146" customFormat="1" ht="16.5" customHeight="1">
      <c r="A67" s="162" t="s">
        <v>167</v>
      </c>
      <c r="B67" s="163">
        <v>313</v>
      </c>
      <c r="C67" s="163"/>
      <c r="D67" s="164">
        <v>24751689291</v>
      </c>
      <c r="E67" s="164">
        <v>21775882146</v>
      </c>
      <c r="F67" s="148">
        <v>259283358</v>
      </c>
      <c r="G67" s="148">
        <v>412112752</v>
      </c>
      <c r="H67" s="148">
        <v>803983239</v>
      </c>
    </row>
    <row r="68" spans="1:8" s="146" customFormat="1" ht="16.5" customHeight="1">
      <c r="A68" s="162" t="s">
        <v>168</v>
      </c>
      <c r="B68" s="163">
        <v>314</v>
      </c>
      <c r="C68" s="163" t="s">
        <v>169</v>
      </c>
      <c r="D68" s="164">
        <f>TMBC!C297</f>
        <v>1096596425</v>
      </c>
      <c r="E68" s="164">
        <v>771892990</v>
      </c>
      <c r="F68" s="148">
        <f>233913505+890272000+40324000+17319800</f>
        <v>1181829305</v>
      </c>
      <c r="G68" s="148">
        <f>51481290+718644000+78124000+22041200</f>
        <v>870290490</v>
      </c>
      <c r="H68" s="148">
        <f>94127477+598953000+88224000+17804800</f>
        <v>799109277</v>
      </c>
    </row>
    <row r="69" spans="1:8" s="146" customFormat="1" ht="16.5" customHeight="1">
      <c r="A69" s="162" t="s">
        <v>170</v>
      </c>
      <c r="B69" s="163">
        <v>315</v>
      </c>
      <c r="C69" s="163"/>
      <c r="D69" s="164">
        <v>5312486908</v>
      </c>
      <c r="E69" s="164">
        <v>8448148726</v>
      </c>
      <c r="F69" s="148">
        <v>3737949008</v>
      </c>
      <c r="G69" s="148">
        <v>3701569708</v>
      </c>
      <c r="H69" s="148">
        <v>1576073308</v>
      </c>
    </row>
    <row r="70" spans="1:8" s="146" customFormat="1" ht="16.5" customHeight="1">
      <c r="A70" s="162" t="s">
        <v>171</v>
      </c>
      <c r="B70" s="163">
        <v>316</v>
      </c>
      <c r="C70" s="163" t="s">
        <v>172</v>
      </c>
      <c r="D70" s="164">
        <f>TMBC!C307</f>
        <v>3299175500</v>
      </c>
      <c r="E70" s="164">
        <v>3311682462</v>
      </c>
      <c r="F70" s="148"/>
      <c r="G70" s="148"/>
      <c r="H70" s="148"/>
    </row>
    <row r="71" spans="1:8" s="146" customFormat="1" ht="16.5" hidden="1" customHeight="1">
      <c r="A71" s="162" t="s">
        <v>173</v>
      </c>
      <c r="B71" s="163">
        <v>317</v>
      </c>
      <c r="C71" s="163"/>
      <c r="D71" s="164"/>
      <c r="E71" s="164"/>
      <c r="F71" s="148">
        <v>7115782</v>
      </c>
      <c r="G71" s="148">
        <v>731922</v>
      </c>
      <c r="H71" s="148"/>
    </row>
    <row r="72" spans="1:8" s="146" customFormat="1" ht="16.5" hidden="1" customHeight="1">
      <c r="A72" s="162" t="s">
        <v>174</v>
      </c>
      <c r="B72" s="163">
        <v>318</v>
      </c>
      <c r="C72" s="163"/>
      <c r="D72" s="164"/>
      <c r="E72" s="164"/>
      <c r="F72" s="148"/>
      <c r="G72" s="148"/>
      <c r="H72" s="148"/>
    </row>
    <row r="73" spans="1:8" s="146" customFormat="1" ht="16.5" customHeight="1">
      <c r="A73" s="162" t="s">
        <v>175</v>
      </c>
      <c r="B73" s="163">
        <v>319</v>
      </c>
      <c r="C73" s="163" t="s">
        <v>176</v>
      </c>
      <c r="D73" s="164">
        <f>TMBC!C318</f>
        <v>422156027</v>
      </c>
      <c r="E73" s="164">
        <v>175517878</v>
      </c>
      <c r="F73" s="148">
        <f>15767000+26000000+194865394+16891933</f>
        <v>253524327</v>
      </c>
      <c r="G73" s="148">
        <f>16400000+32000000+185921394+18578933</f>
        <v>252900327</v>
      </c>
      <c r="H73" s="148">
        <f>16100000+4974478933+251774929+34000000</f>
        <v>5276353862</v>
      </c>
    </row>
    <row r="74" spans="1:8" s="146" customFormat="1" ht="16.5" customHeight="1">
      <c r="A74" s="162" t="s">
        <v>177</v>
      </c>
      <c r="B74" s="163">
        <v>320</v>
      </c>
      <c r="C74" s="163"/>
      <c r="D74" s="164">
        <v>6938756396</v>
      </c>
      <c r="E74" s="164">
        <v>6738548096</v>
      </c>
      <c r="F74" s="148"/>
      <c r="G74" s="148"/>
      <c r="H74" s="148"/>
    </row>
    <row r="75" spans="1:8" s="146" customFormat="1" ht="16.5" customHeight="1">
      <c r="A75" s="162" t="s">
        <v>415</v>
      </c>
      <c r="B75" s="163">
        <v>323</v>
      </c>
      <c r="C75" s="163"/>
      <c r="D75" s="164">
        <v>675672127</v>
      </c>
      <c r="E75" s="164">
        <v>34592127</v>
      </c>
      <c r="F75" s="148"/>
      <c r="G75" s="148"/>
      <c r="H75" s="148"/>
    </row>
    <row r="76" spans="1:8" s="146" customFormat="1" ht="16.5" customHeight="1">
      <c r="A76" s="159" t="s">
        <v>178</v>
      </c>
      <c r="B76" s="160">
        <v>330</v>
      </c>
      <c r="C76" s="160"/>
      <c r="D76" s="161">
        <f>SUM(D77:D84)</f>
        <v>600000000</v>
      </c>
      <c r="E76" s="161">
        <f>SUM(E77:E84)</f>
        <v>18919839895</v>
      </c>
      <c r="F76" s="147">
        <f>F77+F82</f>
        <v>0</v>
      </c>
      <c r="G76" s="147">
        <f>G77+G82</f>
        <v>0</v>
      </c>
      <c r="H76" s="147">
        <f>H77+H82</f>
        <v>1859655300</v>
      </c>
    </row>
    <row r="77" spans="1:8" s="146" customFormat="1" ht="16.5" customHeight="1">
      <c r="A77" s="162" t="s">
        <v>179</v>
      </c>
      <c r="B77" s="163">
        <v>331</v>
      </c>
      <c r="C77" s="163"/>
      <c r="D77" s="164">
        <v>0</v>
      </c>
      <c r="E77" s="164">
        <v>0</v>
      </c>
      <c r="F77" s="148"/>
      <c r="G77" s="148"/>
      <c r="H77" s="148">
        <v>1859655300</v>
      </c>
    </row>
    <row r="78" spans="1:8" s="146" customFormat="1" ht="16.5" customHeight="1">
      <c r="A78" s="162" t="s">
        <v>180</v>
      </c>
      <c r="B78" s="163">
        <v>332</v>
      </c>
      <c r="C78" s="163" t="s">
        <v>181</v>
      </c>
      <c r="D78" s="164"/>
      <c r="E78" s="164"/>
      <c r="F78" s="148"/>
      <c r="G78" s="148"/>
      <c r="H78" s="148"/>
    </row>
    <row r="79" spans="1:8" s="146" customFormat="1" ht="16.5" customHeight="1">
      <c r="A79" s="162" t="s">
        <v>182</v>
      </c>
      <c r="B79" s="163">
        <v>333</v>
      </c>
      <c r="C79" s="163"/>
      <c r="D79" s="164">
        <v>600000000</v>
      </c>
      <c r="E79" s="164">
        <v>500000000</v>
      </c>
      <c r="F79" s="148"/>
      <c r="G79" s="148"/>
      <c r="H79" s="148"/>
    </row>
    <row r="80" spans="1:8" s="146" customFormat="1" ht="16.5" customHeight="1">
      <c r="A80" s="162" t="s">
        <v>183</v>
      </c>
      <c r="B80" s="163">
        <v>334</v>
      </c>
      <c r="C80" s="163" t="s">
        <v>184</v>
      </c>
      <c r="D80" s="164"/>
      <c r="E80" s="164">
        <v>6594991410</v>
      </c>
      <c r="F80" s="148"/>
      <c r="G80" s="148"/>
      <c r="H80" s="148"/>
    </row>
    <row r="81" spans="1:8" s="146" customFormat="1" ht="16.5" customHeight="1">
      <c r="A81" s="162" t="s">
        <v>185</v>
      </c>
      <c r="B81" s="163">
        <v>335</v>
      </c>
      <c r="C81" s="163" t="s">
        <v>156</v>
      </c>
      <c r="D81" s="164"/>
      <c r="E81" s="164"/>
      <c r="F81" s="148"/>
      <c r="G81" s="148"/>
      <c r="H81" s="148"/>
    </row>
    <row r="82" spans="1:8" s="146" customFormat="1" ht="16.5" customHeight="1">
      <c r="A82" s="162" t="s">
        <v>186</v>
      </c>
      <c r="B82" s="163">
        <v>336</v>
      </c>
      <c r="C82" s="163"/>
      <c r="D82" s="164"/>
      <c r="E82" s="164"/>
      <c r="F82" s="148"/>
      <c r="G82" s="148"/>
      <c r="H82" s="148"/>
    </row>
    <row r="83" spans="1:8" s="146" customFormat="1" ht="16.5" customHeight="1">
      <c r="A83" s="162" t="s">
        <v>187</v>
      </c>
      <c r="B83" s="163">
        <v>337</v>
      </c>
      <c r="C83" s="163"/>
      <c r="D83" s="164"/>
      <c r="E83" s="164"/>
      <c r="F83" s="148"/>
      <c r="G83" s="148"/>
      <c r="H83" s="148"/>
    </row>
    <row r="84" spans="1:8" s="146" customFormat="1" ht="16.5" customHeight="1">
      <c r="A84" s="162" t="s">
        <v>592</v>
      </c>
      <c r="B84" s="163">
        <v>338</v>
      </c>
      <c r="C84" s="163"/>
      <c r="D84" s="164">
        <v>0</v>
      </c>
      <c r="E84" s="164">
        <v>11824848485</v>
      </c>
      <c r="F84" s="148"/>
      <c r="G84" s="148"/>
      <c r="H84" s="148"/>
    </row>
    <row r="85" spans="1:8" s="146" customFormat="1" ht="16.5" customHeight="1">
      <c r="A85" s="190" t="s">
        <v>188</v>
      </c>
      <c r="B85" s="167">
        <v>400</v>
      </c>
      <c r="C85" s="167"/>
      <c r="D85" s="168">
        <f>D86+D100</f>
        <v>52832570784</v>
      </c>
      <c r="E85" s="168">
        <f>E86+E100</f>
        <v>49123183727</v>
      </c>
      <c r="F85" s="149" t="e">
        <f>F86+F100</f>
        <v>#REF!</v>
      </c>
      <c r="G85" s="149" t="e">
        <f>G86+G100</f>
        <v>#REF!</v>
      </c>
      <c r="H85" s="149" t="e">
        <f>H86+H100</f>
        <v>#REF!</v>
      </c>
    </row>
    <row r="86" spans="1:8" s="146" customFormat="1" ht="16.5" customHeight="1">
      <c r="A86" s="159" t="s">
        <v>189</v>
      </c>
      <c r="B86" s="160">
        <v>410</v>
      </c>
      <c r="C86" s="160" t="s">
        <v>190</v>
      </c>
      <c r="D86" s="161">
        <f>SUM(D87:D96)</f>
        <v>52832570784</v>
      </c>
      <c r="E86" s="161">
        <f>SUM(E87:E96)</f>
        <v>49123183727</v>
      </c>
      <c r="F86" s="147">
        <f>SUM(F87:F94)</f>
        <v>17491204312</v>
      </c>
      <c r="G86" s="147">
        <f>SUM(G87:G94)</f>
        <v>17923801376</v>
      </c>
      <c r="H86" s="147">
        <f>SUM(H87:H94)</f>
        <v>37392101961</v>
      </c>
    </row>
    <row r="87" spans="1:8" s="146" customFormat="1" ht="16.5" customHeight="1">
      <c r="A87" s="162" t="s">
        <v>191</v>
      </c>
      <c r="B87" s="163">
        <v>411</v>
      </c>
      <c r="C87" s="163"/>
      <c r="D87" s="164">
        <v>27586800000</v>
      </c>
      <c r="E87" s="164">
        <v>27586800000</v>
      </c>
      <c r="F87" s="148">
        <v>14743028722</v>
      </c>
      <c r="G87" s="148">
        <v>14738307322</v>
      </c>
      <c r="H87" s="148">
        <v>27918380987</v>
      </c>
    </row>
    <row r="88" spans="1:8" s="146" customFormat="1" ht="16.5" customHeight="1">
      <c r="A88" s="162" t="s">
        <v>192</v>
      </c>
      <c r="B88" s="163">
        <v>412</v>
      </c>
      <c r="C88" s="163"/>
      <c r="D88" s="164">
        <v>4121612131</v>
      </c>
      <c r="E88" s="164">
        <v>4121612131</v>
      </c>
      <c r="F88" s="148"/>
      <c r="G88" s="148"/>
      <c r="H88" s="148">
        <v>6186259240</v>
      </c>
    </row>
    <row r="89" spans="1:8" s="146" customFormat="1" ht="16.5" customHeight="1">
      <c r="A89" s="162" t="s">
        <v>193</v>
      </c>
      <c r="B89" s="163">
        <v>413</v>
      </c>
      <c r="C89" s="163"/>
      <c r="D89" s="164"/>
      <c r="E89" s="164"/>
      <c r="F89" s="148"/>
      <c r="G89" s="148"/>
      <c r="H89" s="148"/>
    </row>
    <row r="90" spans="1:8" s="146" customFormat="1" ht="16.5" hidden="1" customHeight="1">
      <c r="A90" s="162" t="s">
        <v>194</v>
      </c>
      <c r="B90" s="163">
        <v>414</v>
      </c>
      <c r="C90" s="163"/>
      <c r="D90" s="164"/>
      <c r="E90" s="164"/>
      <c r="F90" s="148"/>
      <c r="G90" s="148"/>
      <c r="H90" s="148"/>
    </row>
    <row r="91" spans="1:8" s="146" customFormat="1" ht="16.5" hidden="1" customHeight="1">
      <c r="A91" s="162" t="s">
        <v>195</v>
      </c>
      <c r="B91" s="163">
        <v>415</v>
      </c>
      <c r="C91" s="163"/>
      <c r="D91" s="164"/>
      <c r="E91" s="164"/>
      <c r="F91" s="148">
        <v>857514047</v>
      </c>
      <c r="G91" s="148">
        <v>857514047</v>
      </c>
      <c r="H91" s="148">
        <v>2042236182</v>
      </c>
    </row>
    <row r="92" spans="1:8" s="146" customFormat="1" ht="16.5" customHeight="1">
      <c r="A92" s="162" t="s">
        <v>196</v>
      </c>
      <c r="B92" s="163">
        <v>416</v>
      </c>
      <c r="C92" s="163"/>
      <c r="D92" s="164"/>
      <c r="E92" s="164"/>
      <c r="F92" s="148">
        <v>638941000</v>
      </c>
      <c r="G92" s="148">
        <v>638941000</v>
      </c>
      <c r="H92" s="148">
        <v>957275000</v>
      </c>
    </row>
    <row r="93" spans="1:8" s="146" customFormat="1" ht="16.5" customHeight="1">
      <c r="A93" s="162" t="s">
        <v>197</v>
      </c>
      <c r="B93" s="163">
        <v>417</v>
      </c>
      <c r="C93" s="163"/>
      <c r="D93" s="164">
        <v>11105505854</v>
      </c>
      <c r="E93" s="164">
        <v>10105505854</v>
      </c>
      <c r="F93" s="148">
        <v>1251720543</v>
      </c>
      <c r="G93" s="148">
        <v>1689039007</v>
      </c>
      <c r="H93" s="148">
        <v>287950552</v>
      </c>
    </row>
    <row r="94" spans="1:8" s="146" customFormat="1" ht="16.5" customHeight="1">
      <c r="A94" s="162" t="s">
        <v>198</v>
      </c>
      <c r="B94" s="163">
        <v>418</v>
      </c>
      <c r="C94" s="163"/>
      <c r="D94" s="164">
        <v>650000000</v>
      </c>
      <c r="E94" s="164">
        <v>650000000</v>
      </c>
      <c r="F94" s="148">
        <v>0</v>
      </c>
      <c r="G94" s="148">
        <v>0</v>
      </c>
      <c r="H94" s="148">
        <v>0</v>
      </c>
    </row>
    <row r="95" spans="1:8" s="146" customFormat="1" ht="16.5" customHeight="1">
      <c r="A95" s="162" t="s">
        <v>199</v>
      </c>
      <c r="B95" s="163">
        <v>419</v>
      </c>
      <c r="C95" s="163"/>
      <c r="D95" s="164"/>
      <c r="E95" s="164"/>
      <c r="F95" s="148"/>
      <c r="G95" s="148"/>
      <c r="H95" s="148"/>
    </row>
    <row r="96" spans="1:8" s="146" customFormat="1" ht="16.5" customHeight="1">
      <c r="A96" s="162" t="s">
        <v>200</v>
      </c>
      <c r="B96" s="163">
        <v>420</v>
      </c>
      <c r="C96" s="163"/>
      <c r="D96" s="164">
        <f>D97+D98</f>
        <v>9368652799</v>
      </c>
      <c r="E96" s="164">
        <v>6659265742</v>
      </c>
      <c r="F96" s="148"/>
      <c r="G96" s="148"/>
      <c r="H96" s="148"/>
    </row>
    <row r="97" spans="1:8" s="146" customFormat="1" ht="16.5" customHeight="1">
      <c r="A97" s="171" t="s">
        <v>54</v>
      </c>
      <c r="B97" s="172"/>
      <c r="C97" s="172"/>
      <c r="D97" s="173">
        <v>4494265742</v>
      </c>
      <c r="E97" s="173">
        <v>6659265742</v>
      </c>
      <c r="F97" s="148"/>
      <c r="G97" s="148"/>
      <c r="H97" s="148"/>
    </row>
    <row r="98" spans="1:8" s="146" customFormat="1" ht="16.5" customHeight="1">
      <c r="A98" s="171" t="s">
        <v>55</v>
      </c>
      <c r="B98" s="172"/>
      <c r="C98" s="172"/>
      <c r="D98" s="173">
        <v>4874387057</v>
      </c>
      <c r="E98" s="173"/>
      <c r="F98" s="148"/>
      <c r="G98" s="148"/>
      <c r="H98" s="148"/>
    </row>
    <row r="99" spans="1:8" s="146" customFormat="1" ht="16.5" customHeight="1">
      <c r="A99" s="162" t="s">
        <v>201</v>
      </c>
      <c r="B99" s="163">
        <v>421</v>
      </c>
      <c r="C99" s="163"/>
      <c r="D99" s="164"/>
      <c r="E99" s="164"/>
      <c r="F99" s="148"/>
      <c r="G99" s="148"/>
      <c r="H99" s="148"/>
    </row>
    <row r="100" spans="1:8" s="146" customFormat="1" ht="16.5" customHeight="1">
      <c r="A100" s="159" t="s">
        <v>202</v>
      </c>
      <c r="B100" s="160">
        <v>430</v>
      </c>
      <c r="C100" s="176"/>
      <c r="D100" s="177">
        <f>SUM(D101:D102)</f>
        <v>0</v>
      </c>
      <c r="E100" s="177">
        <f>SUM(E101:E102)</f>
        <v>0</v>
      </c>
      <c r="F100" s="147" t="e">
        <f>SUM(F101:F102)+#REF!</f>
        <v>#REF!</v>
      </c>
      <c r="G100" s="147" t="e">
        <f>SUM(G101:G102)+#REF!</f>
        <v>#REF!</v>
      </c>
      <c r="H100" s="147" t="e">
        <f>SUM(H101:H102)+#REF!</f>
        <v>#REF!</v>
      </c>
    </row>
    <row r="101" spans="1:8" s="146" customFormat="1" ht="16.5" customHeight="1">
      <c r="A101" s="162" t="s">
        <v>416</v>
      </c>
      <c r="B101" s="163">
        <v>432</v>
      </c>
      <c r="C101" s="163"/>
      <c r="D101" s="164"/>
      <c r="E101" s="164"/>
      <c r="F101" s="148">
        <v>1252276361</v>
      </c>
      <c r="G101" s="148">
        <v>1172276361</v>
      </c>
      <c r="H101" s="148">
        <v>1407062361</v>
      </c>
    </row>
    <row r="102" spans="1:8" s="146" customFormat="1" ht="16.5" customHeight="1">
      <c r="A102" s="162" t="s">
        <v>417</v>
      </c>
      <c r="B102" s="163">
        <v>433</v>
      </c>
      <c r="C102" s="163"/>
      <c r="D102" s="164"/>
      <c r="E102" s="164"/>
      <c r="F102" s="148"/>
      <c r="G102" s="148"/>
      <c r="H102" s="148"/>
    </row>
    <row r="103" spans="1:8" s="146" customFormat="1" ht="16.5" customHeight="1">
      <c r="A103" s="182" t="s">
        <v>203</v>
      </c>
      <c r="B103" s="191">
        <v>440</v>
      </c>
      <c r="C103" s="191"/>
      <c r="D103" s="184">
        <f>D85+D63</f>
        <v>156928511058</v>
      </c>
      <c r="E103" s="184">
        <f>E85+E63</f>
        <v>163083972525</v>
      </c>
      <c r="F103" s="155" t="e">
        <f>F85+F63</f>
        <v>#REF!</v>
      </c>
      <c r="G103" s="155" t="e">
        <f>G85+G63</f>
        <v>#REF!</v>
      </c>
      <c r="H103" s="155" t="e">
        <f>H85+H63</f>
        <v>#REF!</v>
      </c>
    </row>
    <row r="104" spans="1:8" ht="24.75" customHeight="1">
      <c r="A104" s="192"/>
      <c r="B104" s="193"/>
      <c r="C104" s="194" t="s">
        <v>626</v>
      </c>
      <c r="D104" s="194"/>
      <c r="E104" s="194"/>
    </row>
    <row r="105" spans="1:8" s="35" customFormat="1" ht="18" customHeight="1">
      <c r="A105" s="425" t="s">
        <v>440</v>
      </c>
      <c r="B105" s="425"/>
      <c r="C105" s="425"/>
      <c r="D105" s="425"/>
      <c r="E105" s="425"/>
      <c r="F105" s="34"/>
      <c r="G105" s="34"/>
      <c r="H105" s="34" t="s">
        <v>204</v>
      </c>
    </row>
    <row r="106" spans="1:8" s="35" customFormat="1" ht="12.75" customHeight="1">
      <c r="A106" s="195"/>
      <c r="B106" s="196"/>
      <c r="C106" s="196"/>
      <c r="D106" s="17"/>
      <c r="E106" s="9"/>
      <c r="F106" s="34"/>
      <c r="G106" s="34"/>
      <c r="H106" s="34"/>
    </row>
    <row r="107" spans="1:8" ht="15.75">
      <c r="A107" s="197"/>
      <c r="B107" s="193"/>
      <c r="C107" s="193"/>
      <c r="D107" s="126"/>
      <c r="E107" s="126"/>
    </row>
    <row r="108" spans="1:8" ht="15.75">
      <c r="A108" s="197"/>
      <c r="B108" s="193"/>
      <c r="C108" s="193"/>
      <c r="D108" s="126"/>
      <c r="E108" s="126"/>
    </row>
    <row r="109" spans="1:8" ht="15.75">
      <c r="A109" s="197"/>
      <c r="B109" s="193"/>
      <c r="C109" s="193"/>
      <c r="D109" s="126"/>
      <c r="E109" s="126"/>
    </row>
    <row r="110" spans="1:8" ht="13.5" customHeight="1">
      <c r="A110" s="197"/>
      <c r="B110" s="193"/>
      <c r="C110" s="193"/>
      <c r="D110" s="126"/>
      <c r="E110" s="126"/>
    </row>
    <row r="111" spans="1:8" s="146" customFormat="1">
      <c r="A111" s="239" t="s">
        <v>517</v>
      </c>
      <c r="B111" s="239"/>
      <c r="C111" s="239"/>
      <c r="D111" s="239"/>
      <c r="E111" s="239"/>
    </row>
    <row r="112" spans="1:8">
      <c r="D112" s="1"/>
    </row>
  </sheetData>
  <mergeCells count="6">
    <mergeCell ref="A5:E5"/>
    <mergeCell ref="A105:E105"/>
    <mergeCell ref="C1:F1"/>
    <mergeCell ref="C2:F2"/>
    <mergeCell ref="A3:F3"/>
    <mergeCell ref="A4:E4"/>
  </mergeCells>
  <phoneticPr fontId="14" type="noConversion"/>
  <pageMargins left="0.87" right="0.25" top="0.23" bottom="0.23" header="0.17" footer="0.17"/>
  <pageSetup paperSize="9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M51" sqref="A1:M51"/>
    </sheetView>
  </sheetViews>
  <sheetFormatPr defaultRowHeight="15"/>
  <cols>
    <col min="1" max="1" width="43" style="2" customWidth="1"/>
    <col min="2" max="2" width="6.42578125" style="2" customWidth="1"/>
    <col min="3" max="3" width="6.7109375" style="2" customWidth="1"/>
    <col min="4" max="5" width="5.42578125" style="2" hidden="1" customWidth="1"/>
    <col min="6" max="7" width="5.42578125" style="312" hidden="1" customWidth="1"/>
    <col min="8" max="8" width="14.5703125" style="312" customWidth="1"/>
    <col min="9" max="9" width="14.42578125" style="312" customWidth="1"/>
    <col min="10" max="11" width="15.42578125" style="349" hidden="1" customWidth="1"/>
    <col min="12" max="12" width="14.42578125" style="349" customWidth="1"/>
    <col min="13" max="13" width="14.5703125" style="349" customWidth="1"/>
    <col min="14" max="14" width="13.85546875" style="2" customWidth="1"/>
    <col min="15" max="15" width="19" style="2" customWidth="1"/>
    <col min="16" max="16384" width="9.140625" style="2"/>
  </cols>
  <sheetData>
    <row r="1" spans="1:14" customFormat="1" ht="16.5">
      <c r="A1" s="320" t="s">
        <v>514</v>
      </c>
      <c r="B1" s="37"/>
      <c r="C1" s="37"/>
      <c r="D1" s="37"/>
      <c r="E1" s="37"/>
      <c r="F1" s="299"/>
      <c r="G1" s="299"/>
      <c r="H1" s="299"/>
      <c r="I1" s="299"/>
      <c r="J1" s="431"/>
      <c r="K1" s="431"/>
      <c r="L1" s="431" t="s">
        <v>483</v>
      </c>
      <c r="M1" s="431"/>
    </row>
    <row r="2" spans="1:14" customFormat="1" ht="15.75">
      <c r="A2" s="138" t="s">
        <v>572</v>
      </c>
      <c r="B2" s="37"/>
      <c r="C2" s="37"/>
      <c r="D2" s="37"/>
      <c r="E2" s="37"/>
      <c r="F2" s="299"/>
      <c r="G2" s="299"/>
      <c r="H2" s="299"/>
      <c r="I2" s="299"/>
      <c r="J2" s="432"/>
      <c r="K2" s="432"/>
      <c r="L2" s="432" t="s">
        <v>482</v>
      </c>
      <c r="M2" s="432"/>
    </row>
    <row r="3" spans="1:14" customFormat="1" ht="12.75">
      <c r="A3" s="233" t="s">
        <v>571</v>
      </c>
      <c r="B3" s="38"/>
      <c r="C3" s="38"/>
      <c r="D3" s="38"/>
      <c r="E3" s="38"/>
      <c r="F3" s="300"/>
      <c r="G3" s="300"/>
      <c r="H3" s="359"/>
      <c r="I3" s="359"/>
      <c r="J3" s="433"/>
      <c r="K3" s="433"/>
      <c r="L3" s="433" t="s">
        <v>484</v>
      </c>
      <c r="M3" s="433"/>
    </row>
    <row r="4" spans="1:14" customFormat="1" ht="12.75">
      <c r="A4" s="224"/>
      <c r="B4" s="225"/>
      <c r="C4" s="225"/>
      <c r="D4" s="225"/>
      <c r="E4" s="225"/>
      <c r="F4" s="300"/>
      <c r="G4" s="300"/>
      <c r="H4" s="300"/>
      <c r="I4" s="300"/>
      <c r="J4" s="347"/>
      <c r="K4" s="347"/>
      <c r="L4" s="347"/>
      <c r="M4" s="347"/>
    </row>
    <row r="5" spans="1:14" ht="28.5" customHeight="1">
      <c r="A5" s="434" t="s">
        <v>512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</row>
    <row r="6" spans="1:14" ht="14.25" customHeight="1">
      <c r="A6" s="438" t="s">
        <v>444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4">
      <c r="A7" s="439" t="s">
        <v>622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4" s="222" customFormat="1" ht="20.25" customHeight="1">
      <c r="A8" s="226"/>
      <c r="B8" s="37"/>
      <c r="C8" s="37"/>
      <c r="D8" s="37"/>
      <c r="E8" s="37"/>
      <c r="F8" s="299"/>
      <c r="G8" s="299"/>
      <c r="H8" s="299"/>
      <c r="I8" s="299"/>
      <c r="J8" s="440"/>
      <c r="K8" s="440"/>
      <c r="L8" s="440" t="s">
        <v>445</v>
      </c>
      <c r="M8" s="440"/>
    </row>
    <row r="9" spans="1:14" s="214" customFormat="1" ht="16.5" customHeight="1">
      <c r="A9" s="367"/>
      <c r="B9" s="429" t="s">
        <v>93</v>
      </c>
      <c r="C9" s="441" t="s">
        <v>446</v>
      </c>
      <c r="D9" s="436" t="s">
        <v>430</v>
      </c>
      <c r="E9" s="437"/>
      <c r="F9" s="436" t="s">
        <v>568</v>
      </c>
      <c r="G9" s="437"/>
      <c r="H9" s="436" t="s">
        <v>632</v>
      </c>
      <c r="I9" s="437"/>
      <c r="J9" s="436" t="s">
        <v>611</v>
      </c>
      <c r="K9" s="437"/>
      <c r="L9" s="436" t="s">
        <v>631</v>
      </c>
      <c r="M9" s="437"/>
    </row>
    <row r="10" spans="1:14" s="214" customFormat="1" ht="16.5" customHeight="1">
      <c r="A10" s="368" t="s">
        <v>447</v>
      </c>
      <c r="B10" s="430"/>
      <c r="C10" s="442"/>
      <c r="D10" s="369" t="s">
        <v>60</v>
      </c>
      <c r="E10" s="370" t="s">
        <v>61</v>
      </c>
      <c r="F10" s="369" t="s">
        <v>60</v>
      </c>
      <c r="G10" s="370" t="s">
        <v>61</v>
      </c>
      <c r="H10" s="369" t="s">
        <v>612</v>
      </c>
      <c r="I10" s="369" t="s">
        <v>596</v>
      </c>
      <c r="J10" s="369" t="s">
        <v>612</v>
      </c>
      <c r="K10" s="369" t="s">
        <v>596</v>
      </c>
      <c r="L10" s="369" t="s">
        <v>612</v>
      </c>
      <c r="M10" s="369" t="s">
        <v>596</v>
      </c>
    </row>
    <row r="11" spans="1:14" s="227" customFormat="1" ht="15" customHeight="1">
      <c r="A11" s="371">
        <v>1</v>
      </c>
      <c r="B11" s="371">
        <v>2</v>
      </c>
      <c r="C11" s="371">
        <v>3</v>
      </c>
      <c r="D11" s="371">
        <v>4</v>
      </c>
      <c r="E11" s="371">
        <v>5</v>
      </c>
      <c r="F11" s="372"/>
      <c r="G11" s="372"/>
      <c r="H11" s="372">
        <v>4</v>
      </c>
      <c r="I11" s="372">
        <v>5</v>
      </c>
      <c r="J11" s="373">
        <v>6</v>
      </c>
      <c r="K11" s="373">
        <v>7</v>
      </c>
      <c r="L11" s="373">
        <v>6</v>
      </c>
      <c r="M11" s="373">
        <v>7</v>
      </c>
    </row>
    <row r="12" spans="1:14" s="197" customFormat="1" ht="15.75" customHeight="1">
      <c r="A12" s="230" t="s">
        <v>448</v>
      </c>
      <c r="B12" s="243"/>
      <c r="C12" s="243"/>
      <c r="D12" s="243"/>
      <c r="E12" s="243"/>
      <c r="F12" s="301"/>
      <c r="G12" s="301"/>
      <c r="H12" s="362"/>
      <c r="I12" s="363"/>
      <c r="J12" s="364"/>
      <c r="K12" s="348"/>
      <c r="L12" s="364"/>
      <c r="M12" s="348"/>
    </row>
    <row r="13" spans="1:14" s="197" customFormat="1" ht="15.75" customHeight="1">
      <c r="A13" s="228" t="s">
        <v>449</v>
      </c>
      <c r="B13" s="264" t="s">
        <v>63</v>
      </c>
      <c r="C13" s="270"/>
      <c r="D13" s="270"/>
      <c r="E13" s="327"/>
      <c r="F13" s="294"/>
      <c r="G13" s="294"/>
      <c r="H13" s="302">
        <f>31844732117-70692154</f>
        <v>31774039963</v>
      </c>
      <c r="I13" s="303">
        <v>49471771436</v>
      </c>
      <c r="J13" s="305">
        <v>66756271818</v>
      </c>
      <c r="K13" s="305">
        <v>54427477243</v>
      </c>
      <c r="L13" s="305">
        <f t="shared" ref="L13:M19" si="0">J13+H13</f>
        <v>98530311781</v>
      </c>
      <c r="M13" s="305">
        <f t="shared" si="0"/>
        <v>103899248679</v>
      </c>
      <c r="N13" s="353"/>
    </row>
    <row r="14" spans="1:14" s="197" customFormat="1" ht="15.75" customHeight="1">
      <c r="A14" s="228" t="s">
        <v>450</v>
      </c>
      <c r="B14" s="264" t="s">
        <v>66</v>
      </c>
      <c r="C14" s="270"/>
      <c r="D14" s="343"/>
      <c r="E14" s="344"/>
      <c r="F14" s="345"/>
      <c r="G14" s="345"/>
      <c r="H14" s="302">
        <v>-40249454083</v>
      </c>
      <c r="I14" s="303">
        <v>-24055405104</v>
      </c>
      <c r="J14" s="304">
        <f>-38628737156-6029781997-2096328322-610000</f>
        <v>-46755457475</v>
      </c>
      <c r="K14" s="304">
        <v>-40215320951</v>
      </c>
      <c r="L14" s="304">
        <f t="shared" si="0"/>
        <v>-87004911558</v>
      </c>
      <c r="M14" s="304">
        <f t="shared" si="0"/>
        <v>-64270726055</v>
      </c>
    </row>
    <row r="15" spans="1:14" s="126" customFormat="1" ht="15.75" customHeight="1">
      <c r="A15" s="228" t="s">
        <v>451</v>
      </c>
      <c r="B15" s="264" t="s">
        <v>452</v>
      </c>
      <c r="C15" s="270"/>
      <c r="D15" s="343"/>
      <c r="E15" s="344"/>
      <c r="F15" s="345"/>
      <c r="G15" s="345"/>
      <c r="H15" s="302">
        <v>-5946206559</v>
      </c>
      <c r="I15" s="303">
        <v>-4938937199</v>
      </c>
      <c r="J15" s="304">
        <v>-8737596476</v>
      </c>
      <c r="K15" s="304">
        <v>-7395422049</v>
      </c>
      <c r="L15" s="304">
        <f t="shared" si="0"/>
        <v>-14683803035</v>
      </c>
      <c r="M15" s="304">
        <f t="shared" si="0"/>
        <v>-12334359248</v>
      </c>
      <c r="N15" s="197"/>
    </row>
    <row r="16" spans="1:14" s="126" customFormat="1" ht="15.75" customHeight="1">
      <c r="A16" s="228" t="s">
        <v>453</v>
      </c>
      <c r="B16" s="264" t="s">
        <v>454</v>
      </c>
      <c r="C16" s="270"/>
      <c r="D16" s="304"/>
      <c r="E16" s="330"/>
      <c r="F16" s="302"/>
      <c r="G16" s="294"/>
      <c r="H16" s="302">
        <v>-665350210</v>
      </c>
      <c r="I16" s="303">
        <v>-308423894</v>
      </c>
      <c r="J16" s="304">
        <f>-520207904-174806962</f>
        <v>-695014866</v>
      </c>
      <c r="K16" s="304">
        <v>-96852203</v>
      </c>
      <c r="L16" s="304">
        <f t="shared" si="0"/>
        <v>-1360365076</v>
      </c>
      <c r="M16" s="304">
        <f t="shared" si="0"/>
        <v>-405276097</v>
      </c>
      <c r="N16" s="197"/>
    </row>
    <row r="17" spans="1:14" s="126" customFormat="1" ht="15.75" customHeight="1">
      <c r="A17" s="228" t="s">
        <v>455</v>
      </c>
      <c r="B17" s="264" t="s">
        <v>456</v>
      </c>
      <c r="C17" s="270"/>
      <c r="D17" s="304"/>
      <c r="E17" s="330"/>
      <c r="F17" s="302"/>
      <c r="G17" s="294"/>
      <c r="H17" s="302">
        <v>-724256820</v>
      </c>
      <c r="I17" s="303">
        <v>-697415385</v>
      </c>
      <c r="J17" s="304">
        <v>-626879968</v>
      </c>
      <c r="K17" s="304">
        <v>-433320351</v>
      </c>
      <c r="L17" s="304">
        <f t="shared" si="0"/>
        <v>-1351136788</v>
      </c>
      <c r="M17" s="304">
        <f t="shared" si="0"/>
        <v>-1130735736</v>
      </c>
      <c r="N17" s="197"/>
    </row>
    <row r="18" spans="1:14" s="126" customFormat="1" ht="15.75" customHeight="1">
      <c r="A18" s="228" t="s">
        <v>457</v>
      </c>
      <c r="B18" s="264" t="s">
        <v>458</v>
      </c>
      <c r="C18" s="270"/>
      <c r="D18" s="325"/>
      <c r="E18" s="328"/>
      <c r="F18" s="302"/>
      <c r="G18" s="294"/>
      <c r="H18" s="365">
        <v>2325487984</v>
      </c>
      <c r="I18" s="305">
        <v>1280178031</v>
      </c>
      <c r="J18" s="304">
        <v>1813143570</v>
      </c>
      <c r="K18" s="304">
        <v>1677321376</v>
      </c>
      <c r="L18" s="305">
        <f t="shared" si="0"/>
        <v>4138631554</v>
      </c>
      <c r="M18" s="305">
        <f t="shared" si="0"/>
        <v>2957499407</v>
      </c>
    </row>
    <row r="19" spans="1:14" s="126" customFormat="1" ht="15.75" customHeight="1">
      <c r="A19" s="228" t="s">
        <v>459</v>
      </c>
      <c r="B19" s="264" t="s">
        <v>460</v>
      </c>
      <c r="C19" s="270"/>
      <c r="D19" s="304"/>
      <c r="E19" s="304"/>
      <c r="F19" s="302"/>
      <c r="G19" s="294"/>
      <c r="H19" s="302">
        <f>-6032838347+95548000+135616500-3099743747-10000000</f>
        <v>-8911417594</v>
      </c>
      <c r="I19" s="303">
        <v>-8220245322</v>
      </c>
      <c r="J19" s="304">
        <v>-3763635963</v>
      </c>
      <c r="K19" s="304">
        <v>-3732779626</v>
      </c>
      <c r="L19" s="304">
        <f t="shared" si="0"/>
        <v>-12675053557</v>
      </c>
      <c r="M19" s="304">
        <f t="shared" si="0"/>
        <v>-11953024948</v>
      </c>
    </row>
    <row r="20" spans="1:14" s="126" customFormat="1" ht="15.75" customHeight="1">
      <c r="A20" s="229" t="s">
        <v>461</v>
      </c>
      <c r="B20" s="266">
        <v>20</v>
      </c>
      <c r="C20" s="272"/>
      <c r="D20" s="291">
        <f>D13+D14+D15+D16+D17+D18+D19</f>
        <v>0</v>
      </c>
      <c r="E20" s="334">
        <f>E13+E14+E15+E16+E17+E18+E19</f>
        <v>0</v>
      </c>
      <c r="F20" s="291">
        <f>F13+F14+F15+F16+F17+F18+F19</f>
        <v>0</v>
      </c>
      <c r="G20" s="291"/>
      <c r="H20" s="307">
        <f>H13+H14+H15+H16+H17+H18+H19</f>
        <v>-22397157319</v>
      </c>
      <c r="I20" s="308">
        <f>I13+I14+I15+I16+I17+I18+I19</f>
        <v>12531522563</v>
      </c>
      <c r="J20" s="307">
        <f>J13+J14+J15+J16+J17+J18+J19</f>
        <v>7990830640</v>
      </c>
      <c r="K20" s="307">
        <v>4231103439</v>
      </c>
      <c r="L20" s="307">
        <f>L13+L14+L15+L16+L17+L18+L19</f>
        <v>-14406326679</v>
      </c>
      <c r="M20" s="307">
        <f>SUM(M13:M19)</f>
        <v>16762626002</v>
      </c>
    </row>
    <row r="21" spans="1:14" s="126" customFormat="1" ht="15.75" customHeight="1">
      <c r="A21" s="230" t="s">
        <v>462</v>
      </c>
      <c r="B21" s="265"/>
      <c r="C21" s="271"/>
      <c r="D21" s="271"/>
      <c r="E21" s="329"/>
      <c r="F21" s="295"/>
      <c r="G21" s="295"/>
      <c r="H21" s="303"/>
      <c r="I21" s="308"/>
      <c r="J21" s="307"/>
      <c r="K21" s="307"/>
      <c r="L21" s="307"/>
      <c r="M21" s="307"/>
    </row>
    <row r="22" spans="1:14" s="126" customFormat="1" ht="15.75" customHeight="1">
      <c r="A22" s="228" t="s">
        <v>569</v>
      </c>
      <c r="B22" s="267">
        <v>21</v>
      </c>
      <c r="C22" s="273"/>
      <c r="D22" s="304"/>
      <c r="E22" s="304"/>
      <c r="F22" s="304"/>
      <c r="G22" s="295"/>
      <c r="H22" s="303">
        <v>-914698116</v>
      </c>
      <c r="I22" s="303">
        <v>-14256574073</v>
      </c>
      <c r="J22" s="304">
        <v>-2408728615</v>
      </c>
      <c r="K22" s="304">
        <v>-4719920609</v>
      </c>
      <c r="L22" s="304">
        <f>J22+H22</f>
        <v>-3323426731</v>
      </c>
      <c r="M22" s="304">
        <f>K22+I22</f>
        <v>-18976494682</v>
      </c>
    </row>
    <row r="23" spans="1:14" s="126" customFormat="1" ht="15.75" customHeight="1">
      <c r="A23" s="228" t="s">
        <v>463</v>
      </c>
      <c r="B23" s="267">
        <v>22</v>
      </c>
      <c r="C23" s="273"/>
      <c r="D23" s="273"/>
      <c r="E23" s="304"/>
      <c r="F23" s="295"/>
      <c r="G23" s="295"/>
      <c r="H23" s="306"/>
      <c r="I23" s="303"/>
      <c r="J23" s="304"/>
      <c r="K23" s="304"/>
      <c r="L23" s="304"/>
      <c r="M23" s="304"/>
    </row>
    <row r="24" spans="1:14" s="126" customFormat="1" ht="15.75" customHeight="1">
      <c r="A24" s="228" t="s">
        <v>464</v>
      </c>
      <c r="B24" s="267">
        <v>23</v>
      </c>
      <c r="C24" s="273"/>
      <c r="D24" s="305"/>
      <c r="E24" s="304"/>
      <c r="F24" s="304"/>
      <c r="G24" s="295"/>
      <c r="H24" s="303"/>
      <c r="I24" s="303">
        <v>-5517360000</v>
      </c>
      <c r="J24" s="304">
        <v>-1000000000</v>
      </c>
      <c r="K24" s="304">
        <v>-1000000000</v>
      </c>
      <c r="L24" s="304">
        <f>J24+H24</f>
        <v>-1000000000</v>
      </c>
      <c r="M24" s="304">
        <f>K24+I24</f>
        <v>-6517360000</v>
      </c>
    </row>
    <row r="25" spans="1:14" s="126" customFormat="1" ht="15.75" customHeight="1">
      <c r="A25" s="228" t="s">
        <v>465</v>
      </c>
      <c r="B25" s="267">
        <v>24</v>
      </c>
      <c r="C25" s="273"/>
      <c r="D25" s="324"/>
      <c r="E25" s="329"/>
      <c r="F25" s="295"/>
      <c r="G25" s="295"/>
      <c r="H25" s="304">
        <v>5000000000</v>
      </c>
      <c r="I25" s="303">
        <v>10717360000</v>
      </c>
      <c r="J25" s="304"/>
      <c r="K25" s="304">
        <v>5000000000</v>
      </c>
      <c r="L25" s="305">
        <f>J25+H25</f>
        <v>5000000000</v>
      </c>
      <c r="M25" s="305">
        <f>K25+I25</f>
        <v>15717360000</v>
      </c>
    </row>
    <row r="26" spans="1:14" s="126" customFormat="1" ht="14.25" customHeight="1">
      <c r="A26" s="228" t="s">
        <v>466</v>
      </c>
      <c r="B26" s="267">
        <v>25</v>
      </c>
      <c r="C26" s="273"/>
      <c r="D26" s="273"/>
      <c r="E26" s="329"/>
      <c r="F26" s="295"/>
      <c r="G26" s="295"/>
      <c r="H26" s="306"/>
      <c r="I26" s="306"/>
      <c r="J26" s="304"/>
      <c r="K26" s="304"/>
      <c r="L26" s="304"/>
      <c r="M26" s="304"/>
    </row>
    <row r="27" spans="1:14" s="126" customFormat="1" ht="14.25" customHeight="1">
      <c r="A27" s="228" t="s">
        <v>467</v>
      </c>
      <c r="B27" s="267">
        <v>26</v>
      </c>
      <c r="C27" s="273"/>
      <c r="D27" s="273"/>
      <c r="E27" s="329"/>
      <c r="F27" s="295"/>
      <c r="G27" s="295"/>
      <c r="H27" s="306"/>
      <c r="I27" s="303"/>
      <c r="J27" s="304"/>
      <c r="K27" s="304"/>
      <c r="L27" s="304"/>
      <c r="M27" s="304"/>
    </row>
    <row r="28" spans="1:14" s="126" customFormat="1" ht="15.75" customHeight="1">
      <c r="A28" s="228" t="s">
        <v>468</v>
      </c>
      <c r="B28" s="267">
        <v>27</v>
      </c>
      <c r="C28" s="273"/>
      <c r="D28" s="322"/>
      <c r="E28" s="329"/>
      <c r="F28" s="295"/>
      <c r="G28" s="295"/>
      <c r="H28" s="365">
        <v>70692154</v>
      </c>
      <c r="I28" s="303">
        <v>503779777</v>
      </c>
      <c r="J28" s="304">
        <v>64186506</v>
      </c>
      <c r="K28" s="304">
        <v>54245119</v>
      </c>
      <c r="L28" s="305">
        <f>J28+H28</f>
        <v>134878660</v>
      </c>
      <c r="M28" s="305">
        <f>K28+I28</f>
        <v>558024896</v>
      </c>
    </row>
    <row r="29" spans="1:14" s="126" customFormat="1" ht="15.75" customHeight="1">
      <c r="A29" s="229" t="s">
        <v>469</v>
      </c>
      <c r="B29" s="266">
        <v>30</v>
      </c>
      <c r="C29" s="272"/>
      <c r="D29" s="291">
        <f>D22+D23+D24+D25+D26+D27+D28</f>
        <v>0</v>
      </c>
      <c r="E29" s="335">
        <f>E22+E23+E24+E25+E26+E27+E28</f>
        <v>0</v>
      </c>
      <c r="F29" s="291">
        <f>F22+F23+F24+F25+F26+F27+F28</f>
        <v>0</v>
      </c>
      <c r="G29" s="291"/>
      <c r="H29" s="307">
        <f>H22+H23+H24+H25+H26+H27+H28</f>
        <v>4155994038</v>
      </c>
      <c r="I29" s="308">
        <f>I22+I23+I24+I25+I26+I27+I28</f>
        <v>-8552794296</v>
      </c>
      <c r="J29" s="307">
        <f>J22+J23+J24+J25+J26+J27+J28</f>
        <v>-3344542109</v>
      </c>
      <c r="K29" s="308">
        <v>-665675490</v>
      </c>
      <c r="L29" s="307">
        <f>L22+L23+L24+L25+L26+L27+L28</f>
        <v>811451929</v>
      </c>
      <c r="M29" s="307">
        <f>SUM(M22:M28)</f>
        <v>-9218469786</v>
      </c>
    </row>
    <row r="30" spans="1:14" s="126" customFormat="1" ht="15.75" customHeight="1">
      <c r="A30" s="230" t="s">
        <v>470</v>
      </c>
      <c r="B30" s="265"/>
      <c r="C30" s="271"/>
      <c r="D30" s="271"/>
      <c r="E30" s="329"/>
      <c r="F30" s="295"/>
      <c r="G30" s="295"/>
      <c r="H30" s="303"/>
      <c r="I30" s="303"/>
      <c r="J30" s="304"/>
      <c r="K30" s="304"/>
      <c r="L30" s="304"/>
      <c r="M30" s="304"/>
    </row>
    <row r="31" spans="1:14" s="126" customFormat="1" ht="15.75" customHeight="1">
      <c r="A31" s="228" t="s">
        <v>471</v>
      </c>
      <c r="B31" s="267">
        <v>31</v>
      </c>
      <c r="C31" s="273"/>
      <c r="D31" s="273"/>
      <c r="E31" s="329"/>
      <c r="F31" s="295"/>
      <c r="G31" s="295"/>
      <c r="H31" s="306"/>
      <c r="I31" s="303"/>
      <c r="J31" s="304"/>
      <c r="K31" s="304"/>
      <c r="L31" s="304"/>
      <c r="M31" s="304"/>
    </row>
    <row r="32" spans="1:14" s="126" customFormat="1" ht="15.75" customHeight="1">
      <c r="A32" s="228" t="s">
        <v>564</v>
      </c>
      <c r="B32" s="267"/>
      <c r="C32" s="273"/>
      <c r="D32" s="273"/>
      <c r="E32" s="329"/>
      <c r="F32" s="295"/>
      <c r="G32" s="295"/>
      <c r="H32" s="306"/>
      <c r="I32" s="306"/>
      <c r="J32" s="304"/>
      <c r="K32" s="304"/>
      <c r="L32" s="304"/>
      <c r="M32" s="304"/>
    </row>
    <row r="33" spans="1:15" s="126" customFormat="1" ht="15.75" customHeight="1">
      <c r="A33" s="228" t="s">
        <v>472</v>
      </c>
      <c r="B33" s="267"/>
      <c r="C33" s="273"/>
      <c r="D33" s="273"/>
      <c r="E33" s="329"/>
      <c r="F33" s="295"/>
      <c r="G33" s="295"/>
      <c r="H33" s="306"/>
      <c r="I33" s="306"/>
      <c r="J33" s="304"/>
      <c r="K33" s="304"/>
      <c r="L33" s="304"/>
      <c r="M33" s="304"/>
    </row>
    <row r="34" spans="1:15" s="126" customFormat="1" ht="15.75" customHeight="1">
      <c r="A34" s="228" t="s">
        <v>473</v>
      </c>
      <c r="B34" s="267">
        <v>33</v>
      </c>
      <c r="C34" s="273"/>
      <c r="D34" s="322"/>
      <c r="E34" s="304"/>
      <c r="F34" s="295"/>
      <c r="G34" s="295"/>
      <c r="H34" s="304">
        <v>11937061278</v>
      </c>
      <c r="I34" s="303">
        <v>10000000000</v>
      </c>
      <c r="J34" s="304">
        <v>14203960050</v>
      </c>
      <c r="K34" s="304">
        <v>7986596856</v>
      </c>
      <c r="L34" s="305">
        <f>J34+H34</f>
        <v>26141021328</v>
      </c>
      <c r="M34" s="305">
        <f>K34+I34</f>
        <v>17986596856</v>
      </c>
    </row>
    <row r="35" spans="1:15" s="126" customFormat="1" ht="15.75" customHeight="1">
      <c r="A35" s="228" t="s">
        <v>474</v>
      </c>
      <c r="B35" s="267">
        <v>34</v>
      </c>
      <c r="C35" s="273"/>
      <c r="D35" s="304"/>
      <c r="E35" s="304"/>
      <c r="F35" s="295"/>
      <c r="G35" s="295"/>
      <c r="H35" s="303">
        <v>-5523131935</v>
      </c>
      <c r="I35" s="303">
        <v>-10981261202</v>
      </c>
      <c r="J35" s="304">
        <v>-19457845310</v>
      </c>
      <c r="K35" s="304">
        <v>-11950409365</v>
      </c>
      <c r="L35" s="304">
        <f>J35+H35</f>
        <v>-24980977245</v>
      </c>
      <c r="M35" s="304">
        <f>K35+I35</f>
        <v>-22931670567</v>
      </c>
    </row>
    <row r="36" spans="1:15" s="126" customFormat="1" ht="15.75" customHeight="1">
      <c r="A36" s="228" t="s">
        <v>475</v>
      </c>
      <c r="B36" s="267">
        <v>35</v>
      </c>
      <c r="C36" s="273"/>
      <c r="D36" s="273"/>
      <c r="E36" s="329"/>
      <c r="F36" s="295"/>
      <c r="G36" s="295"/>
      <c r="H36" s="306"/>
      <c r="I36" s="306"/>
      <c r="J36" s="304"/>
      <c r="K36" s="304"/>
      <c r="L36" s="304"/>
      <c r="M36" s="304"/>
    </row>
    <row r="37" spans="1:15" s="126" customFormat="1" ht="15.75" customHeight="1">
      <c r="A37" s="228" t="s">
        <v>476</v>
      </c>
      <c r="B37" s="267">
        <v>36</v>
      </c>
      <c r="C37" s="273"/>
      <c r="D37" s="304"/>
      <c r="E37" s="329"/>
      <c r="F37" s="295"/>
      <c r="G37" s="295"/>
      <c r="H37" s="303"/>
      <c r="I37" s="303">
        <v>-5517360000</v>
      </c>
      <c r="J37" s="304"/>
      <c r="K37" s="304"/>
      <c r="L37" s="304"/>
      <c r="M37" s="304">
        <f>K37+I37</f>
        <v>-5517360000</v>
      </c>
    </row>
    <row r="38" spans="1:15" s="126" customFormat="1" ht="15.75" customHeight="1">
      <c r="A38" s="229" t="s">
        <v>477</v>
      </c>
      <c r="B38" s="266">
        <v>40</v>
      </c>
      <c r="C38" s="272"/>
      <c r="D38" s="292">
        <f>SUM(D31:D37)</f>
        <v>0</v>
      </c>
      <c r="E38" s="336">
        <f>SUM(E31:E37)</f>
        <v>0</v>
      </c>
      <c r="F38" s="291">
        <f>SUM(F31:F37)</f>
        <v>0</v>
      </c>
      <c r="G38" s="291"/>
      <c r="H38" s="308">
        <f>SUM(H31:H37)</f>
        <v>6413929343</v>
      </c>
      <c r="I38" s="308">
        <v>-6498621202</v>
      </c>
      <c r="J38" s="308">
        <f>SUM(J31:J37)</f>
        <v>-5253885260</v>
      </c>
      <c r="K38" s="308">
        <v>-3963812509</v>
      </c>
      <c r="L38" s="307">
        <f>L31+L32+L33+L34+L35+L36+L37</f>
        <v>1160044083</v>
      </c>
      <c r="M38" s="307">
        <f>SUM(M30:M37)</f>
        <v>-10462433711</v>
      </c>
    </row>
    <row r="39" spans="1:15" s="126" customFormat="1" ht="15.75" customHeight="1">
      <c r="A39" s="230" t="s">
        <v>478</v>
      </c>
      <c r="B39" s="268">
        <v>50</v>
      </c>
      <c r="C39" s="274"/>
      <c r="D39" s="307">
        <f>D20+D29+D38</f>
        <v>0</v>
      </c>
      <c r="E39" s="337">
        <f>E20+E29+E38</f>
        <v>0</v>
      </c>
      <c r="F39" s="307">
        <f>F20+F29+F38</f>
        <v>0</v>
      </c>
      <c r="G39" s="296"/>
      <c r="H39" s="308">
        <f>H20+H29+H38</f>
        <v>-11827233938</v>
      </c>
      <c r="I39" s="308">
        <v>-2519892935</v>
      </c>
      <c r="J39" s="307">
        <f>J38+J29+J20</f>
        <v>-607596729</v>
      </c>
      <c r="K39" s="308">
        <v>-398384560</v>
      </c>
      <c r="L39" s="307">
        <f>L38+L29+L20</f>
        <v>-12434830667</v>
      </c>
      <c r="M39" s="307">
        <f>M38+M29+M20</f>
        <v>-2918277495</v>
      </c>
    </row>
    <row r="40" spans="1:15" s="126" customFormat="1" ht="15.75" customHeight="1">
      <c r="A40" s="230" t="s">
        <v>479</v>
      </c>
      <c r="B40" s="268">
        <v>60</v>
      </c>
      <c r="C40" s="275"/>
      <c r="D40" s="311"/>
      <c r="E40" s="340"/>
      <c r="F40" s="309"/>
      <c r="G40" s="297"/>
      <c r="H40" s="361">
        <f>15350643723</f>
        <v>15350643723</v>
      </c>
      <c r="I40" s="310">
        <v>11079762513</v>
      </c>
      <c r="J40" s="311">
        <v>15958240452</v>
      </c>
      <c r="K40" s="366">
        <v>11478147073</v>
      </c>
      <c r="L40" s="311">
        <v>15958240452</v>
      </c>
      <c r="M40" s="366">
        <v>11478147073</v>
      </c>
    </row>
    <row r="41" spans="1:15" s="126" customFormat="1" ht="15.75" customHeight="1">
      <c r="A41" s="244" t="s">
        <v>513</v>
      </c>
      <c r="B41" s="267">
        <v>61</v>
      </c>
      <c r="C41" s="273"/>
      <c r="D41" s="273"/>
      <c r="E41" s="338"/>
      <c r="F41" s="295"/>
      <c r="G41" s="295"/>
      <c r="H41" s="306"/>
      <c r="I41" s="292"/>
      <c r="J41" s="291"/>
      <c r="K41" s="291"/>
      <c r="L41" s="291"/>
      <c r="M41" s="291"/>
    </row>
    <row r="42" spans="1:15" s="126" customFormat="1" ht="15.75" customHeight="1">
      <c r="A42" s="231" t="s">
        <v>480</v>
      </c>
      <c r="B42" s="269">
        <v>70</v>
      </c>
      <c r="C42" s="276" t="s">
        <v>481</v>
      </c>
      <c r="D42" s="298">
        <f>SUM(D39:D41)</f>
        <v>0</v>
      </c>
      <c r="E42" s="339">
        <f>SUM(E39:E41)</f>
        <v>0</v>
      </c>
      <c r="F42" s="298">
        <f>SUM(F39:F41)</f>
        <v>0</v>
      </c>
      <c r="G42" s="298">
        <v>3271067976</v>
      </c>
      <c r="H42" s="293">
        <f>SUM(H39:H41)</f>
        <v>3523409785</v>
      </c>
      <c r="I42" s="293">
        <f>SUM(I39:I41)</f>
        <v>8559869578</v>
      </c>
      <c r="J42" s="298">
        <f>SUM(J39:J41)</f>
        <v>15350643723</v>
      </c>
      <c r="K42" s="298">
        <v>11079762513</v>
      </c>
      <c r="L42" s="298">
        <f>SUM(L39:L41)</f>
        <v>3523409785</v>
      </c>
      <c r="M42" s="298">
        <f>SUM(M39:M41)</f>
        <v>8559869578</v>
      </c>
    </row>
    <row r="43" spans="1:15" ht="9" customHeight="1">
      <c r="E43" s="341"/>
      <c r="O43" s="323"/>
    </row>
    <row r="44" spans="1:15" s="218" customFormat="1" ht="20.25" customHeight="1">
      <c r="A44" s="219"/>
      <c r="B44" s="220"/>
      <c r="C44" s="221"/>
      <c r="D44" s="326"/>
      <c r="E44" s="232" t="s">
        <v>595</v>
      </c>
      <c r="F44" s="313"/>
      <c r="G44" s="314" t="s">
        <v>570</v>
      </c>
      <c r="H44" s="315" t="s">
        <v>630</v>
      </c>
      <c r="I44" s="315"/>
      <c r="J44" s="350"/>
      <c r="K44" s="350"/>
      <c r="L44" s="350"/>
      <c r="M44" s="350"/>
    </row>
    <row r="45" spans="1:15" s="35" customFormat="1" ht="16.5" customHeight="1">
      <c r="A45" s="213" t="s">
        <v>635</v>
      </c>
      <c r="B45" s="213"/>
      <c r="C45" s="213"/>
      <c r="D45" s="213"/>
      <c r="E45" s="213"/>
      <c r="F45" s="316"/>
      <c r="G45" s="316"/>
      <c r="H45" s="316"/>
      <c r="I45" s="316"/>
      <c r="J45" s="351"/>
      <c r="K45" s="351"/>
      <c r="L45" s="351"/>
      <c r="M45" s="351"/>
    </row>
    <row r="46" spans="1:15" s="35" customFormat="1" ht="13.5" customHeight="1">
      <c r="A46" s="195"/>
      <c r="B46" s="196"/>
      <c r="C46" s="196"/>
      <c r="D46" s="196"/>
      <c r="E46" s="196"/>
      <c r="F46" s="317"/>
      <c r="G46" s="317"/>
      <c r="H46" s="317"/>
      <c r="I46" s="317"/>
      <c r="J46" s="435"/>
      <c r="K46" s="435"/>
      <c r="L46" s="435"/>
      <c r="M46" s="435"/>
    </row>
    <row r="47" spans="1:15" ht="13.5" customHeight="1">
      <c r="A47" s="197"/>
      <c r="B47" s="193"/>
      <c r="C47" s="193"/>
      <c r="D47" s="193"/>
      <c r="E47" s="193"/>
      <c r="F47" s="318"/>
      <c r="G47" s="318"/>
      <c r="H47" s="318"/>
      <c r="I47" s="318"/>
    </row>
    <row r="48" spans="1:15" ht="15.75">
      <c r="A48" s="197"/>
      <c r="B48" s="193"/>
      <c r="C48" s="193"/>
      <c r="D48" s="193"/>
      <c r="E48" s="193"/>
      <c r="F48" s="318"/>
      <c r="G48" s="318"/>
      <c r="H48" s="318"/>
      <c r="I48" s="318"/>
    </row>
    <row r="49" spans="1:14" ht="15.75">
      <c r="A49" s="197"/>
      <c r="B49" s="193"/>
      <c r="C49" s="193"/>
      <c r="D49" s="193"/>
      <c r="E49" s="193"/>
      <c r="F49" s="318"/>
      <c r="G49" s="318"/>
      <c r="H49" s="318"/>
      <c r="I49" s="318"/>
    </row>
    <row r="50" spans="1:14" ht="13.5" customHeight="1">
      <c r="A50" s="197"/>
      <c r="B50" s="193"/>
      <c r="C50" s="193"/>
      <c r="D50" s="193"/>
      <c r="E50" s="193"/>
      <c r="F50" s="318"/>
      <c r="G50" s="318"/>
      <c r="H50" s="318"/>
      <c r="I50" s="318"/>
    </row>
    <row r="51" spans="1:14" s="146" customFormat="1">
      <c r="A51" s="223" t="s">
        <v>636</v>
      </c>
      <c r="B51" s="223"/>
      <c r="C51" s="223"/>
      <c r="D51" s="223"/>
      <c r="E51" s="223"/>
      <c r="F51" s="319"/>
      <c r="G51" s="319"/>
      <c r="H51" s="319"/>
      <c r="I51" s="319"/>
      <c r="J51" s="352"/>
      <c r="K51" s="352"/>
      <c r="L51" s="352"/>
      <c r="M51" s="352"/>
      <c r="N51" s="223"/>
    </row>
    <row r="52" spans="1:14">
      <c r="D52" s="323"/>
    </row>
  </sheetData>
  <mergeCells count="20">
    <mergeCell ref="C9:C10"/>
    <mergeCell ref="J46:K46"/>
    <mergeCell ref="H9:I9"/>
    <mergeCell ref="F9:G9"/>
    <mergeCell ref="D9:E9"/>
    <mergeCell ref="J1:K1"/>
    <mergeCell ref="J2:K2"/>
    <mergeCell ref="J3:K3"/>
    <mergeCell ref="J8:K8"/>
    <mergeCell ref="J9:K9"/>
    <mergeCell ref="B9:B10"/>
    <mergeCell ref="L1:M1"/>
    <mergeCell ref="L2:M2"/>
    <mergeCell ref="L3:M3"/>
    <mergeCell ref="A5:M5"/>
    <mergeCell ref="L46:M46"/>
    <mergeCell ref="L9:M9"/>
    <mergeCell ref="A6:M6"/>
    <mergeCell ref="A7:M7"/>
    <mergeCell ref="L8:M8"/>
  </mergeCells>
  <phoneticPr fontId="14" type="noConversion"/>
  <pageMargins left="0.43" right="0.23" top="0.25" bottom="0.23" header="0.22" footer="0.17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tabSelected="1" topLeftCell="A55" workbookViewId="0">
      <selection activeCell="C66" sqref="C66"/>
    </sheetView>
  </sheetViews>
  <sheetFormatPr defaultRowHeight="21" customHeight="1"/>
  <cols>
    <col min="1" max="1" width="9.42578125" style="2" customWidth="1"/>
    <col min="2" max="2" width="49.42578125" style="2" customWidth="1"/>
    <col min="3" max="3" width="22" style="2" customWidth="1"/>
    <col min="4" max="4" width="21.42578125" style="2" customWidth="1"/>
    <col min="5" max="6" width="10.140625" style="2" bestFit="1" customWidth="1"/>
    <col min="7" max="16384" width="9.140625" style="2"/>
  </cols>
  <sheetData>
    <row r="1" spans="1:4" ht="24.75" customHeight="1">
      <c r="A1" s="390"/>
      <c r="B1" s="443" t="s">
        <v>655</v>
      </c>
      <c r="C1" s="443"/>
      <c r="D1" s="392" t="s">
        <v>656</v>
      </c>
    </row>
    <row r="2" spans="1:4" ht="24.75" customHeight="1">
      <c r="A2" s="391"/>
      <c r="B2" s="444" t="s">
        <v>657</v>
      </c>
      <c r="C2" s="444"/>
    </row>
    <row r="3" spans="1:4" ht="24.75" customHeight="1">
      <c r="A3" s="393" t="s">
        <v>658</v>
      </c>
      <c r="B3" s="445" t="s">
        <v>659</v>
      </c>
      <c r="C3" s="445"/>
      <c r="D3" s="445"/>
    </row>
    <row r="4" spans="1:4" ht="7.5" customHeight="1">
      <c r="A4" s="391" t="s">
        <v>660</v>
      </c>
      <c r="B4" s="391"/>
      <c r="C4" s="391"/>
    </row>
    <row r="5" spans="1:4" ht="28.5" customHeight="1">
      <c r="A5" s="446" t="s">
        <v>661</v>
      </c>
      <c r="B5" s="446"/>
      <c r="C5" s="446"/>
      <c r="D5" s="446"/>
    </row>
    <row r="6" spans="1:4" ht="21" customHeight="1">
      <c r="A6" s="416" t="s">
        <v>622</v>
      </c>
      <c r="B6" s="416"/>
      <c r="C6" s="416"/>
      <c r="D6" s="416"/>
    </row>
    <row r="7" spans="1:4" ht="9.75" customHeight="1">
      <c r="A7" s="382"/>
      <c r="B7" s="382"/>
      <c r="C7" s="382"/>
      <c r="D7" s="382"/>
    </row>
    <row r="8" spans="1:4" ht="21" customHeight="1">
      <c r="A8" s="447" t="s">
        <v>662</v>
      </c>
      <c r="B8" s="447"/>
      <c r="C8" s="447"/>
      <c r="D8" s="447" t="s">
        <v>58</v>
      </c>
    </row>
    <row r="9" spans="1:4" ht="18.75" customHeight="1">
      <c r="A9" s="15" t="s">
        <v>663</v>
      </c>
      <c r="B9" s="16" t="s">
        <v>664</v>
      </c>
      <c r="C9" s="394" t="s">
        <v>665</v>
      </c>
      <c r="D9" s="394" t="s">
        <v>666</v>
      </c>
    </row>
    <row r="10" spans="1:4" ht="18.75" customHeight="1">
      <c r="A10" s="395" t="s">
        <v>667</v>
      </c>
      <c r="B10" s="19" t="s">
        <v>668</v>
      </c>
      <c r="C10" s="19">
        <f>SUM(C11:C15)</f>
        <v>90624639883</v>
      </c>
      <c r="D10" s="19">
        <f>SUM(D11:D15)</f>
        <v>91343434509</v>
      </c>
    </row>
    <row r="11" spans="1:4" ht="18.75" customHeight="1">
      <c r="A11" s="22">
        <v>1</v>
      </c>
      <c r="B11" s="11" t="s">
        <v>669</v>
      </c>
      <c r="C11" s="11">
        <v>15350643723</v>
      </c>
      <c r="D11" s="11">
        <v>3523409785</v>
      </c>
    </row>
    <row r="12" spans="1:4" ht="18.75" customHeight="1">
      <c r="A12" s="22">
        <v>2</v>
      </c>
      <c r="B12" s="11" t="s">
        <v>670</v>
      </c>
      <c r="C12" s="11">
        <v>3000000000</v>
      </c>
      <c r="D12" s="11">
        <v>2000000000</v>
      </c>
    </row>
    <row r="13" spans="1:4" ht="18.75" customHeight="1">
      <c r="A13" s="22">
        <v>3</v>
      </c>
      <c r="B13" s="11" t="s">
        <v>671</v>
      </c>
      <c r="C13" s="11">
        <v>29694320358</v>
      </c>
      <c r="D13" s="11">
        <v>36338742365</v>
      </c>
    </row>
    <row r="14" spans="1:4" ht="18.75" customHeight="1">
      <c r="A14" s="22">
        <v>4</v>
      </c>
      <c r="B14" s="11" t="s">
        <v>672</v>
      </c>
      <c r="C14" s="11">
        <v>40862199382</v>
      </c>
      <c r="D14" s="11">
        <v>48078868056</v>
      </c>
    </row>
    <row r="15" spans="1:4" ht="18.75" customHeight="1">
      <c r="A15" s="22">
        <v>5</v>
      </c>
      <c r="B15" s="11" t="s">
        <v>673</v>
      </c>
      <c r="C15" s="11">
        <v>1717476420</v>
      </c>
      <c r="D15" s="11">
        <v>1402414303</v>
      </c>
    </row>
    <row r="16" spans="1:4" ht="18.75" customHeight="1">
      <c r="A16" s="20" t="s">
        <v>674</v>
      </c>
      <c r="B16" s="21" t="s">
        <v>675</v>
      </c>
      <c r="C16" s="21">
        <f>C17+C18+C24+C25</f>
        <v>66778717350</v>
      </c>
      <c r="D16" s="21">
        <f>D17+D18+D24+D25</f>
        <v>65585076549</v>
      </c>
    </row>
    <row r="17" spans="1:4" ht="18.75" customHeight="1">
      <c r="A17" s="22">
        <v>1</v>
      </c>
      <c r="B17" s="11" t="s">
        <v>676</v>
      </c>
      <c r="C17" s="11"/>
      <c r="D17" s="11"/>
    </row>
    <row r="18" spans="1:4" ht="18.75" customHeight="1">
      <c r="A18" s="22">
        <v>2</v>
      </c>
      <c r="B18" s="11" t="s">
        <v>677</v>
      </c>
      <c r="C18" s="11">
        <f>SUM(C19:C22)</f>
        <v>65320313644</v>
      </c>
      <c r="D18" s="11">
        <f>SUM(D19:D22)</f>
        <v>64054784374</v>
      </c>
    </row>
    <row r="19" spans="1:4" ht="18.75" customHeight="1">
      <c r="A19" s="22"/>
      <c r="B19" s="102" t="s">
        <v>678</v>
      </c>
      <c r="C19" s="13">
        <v>55714872929</v>
      </c>
      <c r="D19" s="13">
        <v>61422104528</v>
      </c>
    </row>
    <row r="20" spans="1:4" ht="18.75" customHeight="1">
      <c r="A20" s="22"/>
      <c r="B20" s="102" t="s">
        <v>679</v>
      </c>
      <c r="C20" s="13">
        <v>2165059337</v>
      </c>
      <c r="D20" s="13">
        <v>2124306296</v>
      </c>
    </row>
    <row r="21" spans="1:4" ht="18.75" customHeight="1">
      <c r="A21" s="22"/>
      <c r="B21" s="102" t="s">
        <v>680</v>
      </c>
      <c r="C21" s="13"/>
      <c r="D21" s="13"/>
    </row>
    <row r="22" spans="1:4" ht="18.75" customHeight="1">
      <c r="A22" s="22"/>
      <c r="B22" s="102" t="s">
        <v>681</v>
      </c>
      <c r="C22" s="13">
        <v>7440381378</v>
      </c>
      <c r="D22" s="13">
        <v>508373550</v>
      </c>
    </row>
    <row r="23" spans="1:4" ht="18.75" customHeight="1">
      <c r="A23" s="22">
        <v>3</v>
      </c>
      <c r="B23" s="11" t="s">
        <v>682</v>
      </c>
      <c r="C23" s="11"/>
      <c r="D23" s="11"/>
    </row>
    <row r="24" spans="1:4" ht="18.75" customHeight="1">
      <c r="A24" s="22">
        <v>4</v>
      </c>
      <c r="B24" s="11" t="s">
        <v>683</v>
      </c>
      <c r="C24" s="11"/>
      <c r="D24" s="11"/>
    </row>
    <row r="25" spans="1:4" ht="18.75" customHeight="1">
      <c r="A25" s="22">
        <v>5</v>
      </c>
      <c r="B25" s="11" t="s">
        <v>684</v>
      </c>
      <c r="C25" s="11">
        <v>1458403706</v>
      </c>
      <c r="D25" s="11">
        <v>1530292175</v>
      </c>
    </row>
    <row r="26" spans="1:4" ht="18.75" customHeight="1">
      <c r="A26" s="396" t="s">
        <v>685</v>
      </c>
      <c r="B26" s="397" t="s">
        <v>686</v>
      </c>
      <c r="C26" s="397">
        <f>C10+C16</f>
        <v>157403357233</v>
      </c>
      <c r="D26" s="397">
        <f>D10+D16</f>
        <v>156928511058</v>
      </c>
    </row>
    <row r="27" spans="1:4" ht="18.75" customHeight="1">
      <c r="A27" s="20" t="s">
        <v>687</v>
      </c>
      <c r="B27" s="21" t="s">
        <v>688</v>
      </c>
      <c r="C27" s="21">
        <f>C28+C29</f>
        <v>107272403048</v>
      </c>
      <c r="D27" s="21">
        <f>D28+D29</f>
        <v>104095940274</v>
      </c>
    </row>
    <row r="28" spans="1:4" ht="18.75" customHeight="1">
      <c r="A28" s="22">
        <v>1</v>
      </c>
      <c r="B28" s="11" t="s">
        <v>689</v>
      </c>
      <c r="C28" s="11">
        <v>106619372743</v>
      </c>
      <c r="D28" s="11">
        <v>103495940274</v>
      </c>
    </row>
    <row r="29" spans="1:4" ht="18.75" customHeight="1">
      <c r="A29" s="22">
        <v>2</v>
      </c>
      <c r="B29" s="11" t="s">
        <v>690</v>
      </c>
      <c r="C29" s="11">
        <v>653030305</v>
      </c>
      <c r="D29" s="11">
        <v>600000000</v>
      </c>
    </row>
    <row r="30" spans="1:4" ht="18.75" customHeight="1">
      <c r="A30" s="20" t="s">
        <v>691</v>
      </c>
      <c r="B30" s="21" t="s">
        <v>692</v>
      </c>
      <c r="C30" s="21">
        <f>C31+C42</f>
        <v>50130954185</v>
      </c>
      <c r="D30" s="21">
        <f>D31+D42</f>
        <v>52832570784</v>
      </c>
    </row>
    <row r="31" spans="1:4" ht="18.75" customHeight="1">
      <c r="A31" s="22">
        <v>1</v>
      </c>
      <c r="B31" s="11" t="s">
        <v>692</v>
      </c>
      <c r="C31" s="11">
        <f>SUM(C32:C41)</f>
        <v>50130954185</v>
      </c>
      <c r="D31" s="11">
        <f>SUM(D32:D41)</f>
        <v>52832570784</v>
      </c>
    </row>
    <row r="32" spans="1:4" ht="18.75" customHeight="1">
      <c r="A32" s="22"/>
      <c r="B32" s="102" t="s">
        <v>693</v>
      </c>
      <c r="C32" s="13">
        <v>27586800000</v>
      </c>
      <c r="D32" s="13">
        <v>27586800000</v>
      </c>
    </row>
    <row r="33" spans="1:4" ht="18.75" customHeight="1">
      <c r="A33" s="22"/>
      <c r="B33" s="102" t="s">
        <v>694</v>
      </c>
      <c r="C33" s="13">
        <v>4121612131</v>
      </c>
      <c r="D33" s="13">
        <v>4121612131</v>
      </c>
    </row>
    <row r="34" spans="1:4" ht="18.75" customHeight="1">
      <c r="A34" s="22"/>
      <c r="B34" s="102" t="s">
        <v>695</v>
      </c>
      <c r="C34" s="13">
        <v>0</v>
      </c>
      <c r="D34" s="13">
        <v>0</v>
      </c>
    </row>
    <row r="35" spans="1:4" ht="18.75" customHeight="1">
      <c r="A35" s="22"/>
      <c r="B35" s="102" t="s">
        <v>696</v>
      </c>
      <c r="C35" s="13">
        <f>11105505854+650000000</f>
        <v>11755505854</v>
      </c>
      <c r="D35" s="13">
        <f>11105505854+650000000</f>
        <v>11755505854</v>
      </c>
    </row>
    <row r="36" spans="1:4" ht="18.75" hidden="1" customHeight="1">
      <c r="A36" s="22"/>
      <c r="B36" s="102" t="s">
        <v>697</v>
      </c>
      <c r="C36" s="13"/>
      <c r="D36" s="13"/>
    </row>
    <row r="37" spans="1:4" ht="18.75" hidden="1" customHeight="1">
      <c r="A37" s="22"/>
      <c r="B37" s="102" t="s">
        <v>698</v>
      </c>
      <c r="C37" s="13"/>
      <c r="D37" s="13"/>
    </row>
    <row r="38" spans="1:4" ht="18.75" hidden="1" customHeight="1">
      <c r="A38" s="22"/>
      <c r="B38" s="102" t="s">
        <v>695</v>
      </c>
      <c r="C38" s="13"/>
      <c r="D38" s="13"/>
    </row>
    <row r="39" spans="1:4" ht="18.75" hidden="1" customHeight="1">
      <c r="A39" s="22"/>
      <c r="B39" s="102" t="s">
        <v>699</v>
      </c>
      <c r="C39" s="13"/>
      <c r="D39" s="13"/>
    </row>
    <row r="40" spans="1:4" ht="18.75" customHeight="1">
      <c r="A40" s="22"/>
      <c r="B40" s="102" t="s">
        <v>700</v>
      </c>
      <c r="C40" s="13">
        <v>6667036200</v>
      </c>
      <c r="D40" s="13">
        <v>9368652799</v>
      </c>
    </row>
    <row r="41" spans="1:4" ht="18.75" customHeight="1">
      <c r="A41" s="22"/>
      <c r="B41" s="102" t="s">
        <v>701</v>
      </c>
      <c r="C41" s="13"/>
      <c r="D41" s="13"/>
    </row>
    <row r="42" spans="1:4" ht="18.75" customHeight="1">
      <c r="A42" s="22">
        <v>2</v>
      </c>
      <c r="B42" s="11" t="s">
        <v>702</v>
      </c>
      <c r="C42" s="11">
        <f>SUM(C43:C44)</f>
        <v>0</v>
      </c>
      <c r="D42" s="11">
        <f>SUM(D43:D44)</f>
        <v>0</v>
      </c>
    </row>
    <row r="43" spans="1:4" ht="18.75" customHeight="1">
      <c r="A43" s="22"/>
      <c r="B43" s="102" t="s">
        <v>703</v>
      </c>
      <c r="C43" s="13"/>
      <c r="D43" s="13"/>
    </row>
    <row r="44" spans="1:4" ht="18.75" customHeight="1">
      <c r="A44" s="22"/>
      <c r="B44" s="102" t="s">
        <v>704</v>
      </c>
      <c r="C44" s="13"/>
      <c r="D44" s="13"/>
    </row>
    <row r="45" spans="1:4" ht="18.75" customHeight="1">
      <c r="A45" s="398" t="s">
        <v>705</v>
      </c>
      <c r="B45" s="399" t="s">
        <v>706</v>
      </c>
      <c r="C45" s="399">
        <f>C27+C30</f>
        <v>157403357233</v>
      </c>
      <c r="D45" s="399">
        <f>D27+D30</f>
        <v>156928511058</v>
      </c>
    </row>
    <row r="46" spans="1:4" ht="21" customHeight="1">
      <c r="A46" s="400"/>
      <c r="B46" s="401"/>
      <c r="C46" s="401"/>
      <c r="D46" s="401"/>
    </row>
    <row r="47" spans="1:4" ht="21" customHeight="1">
      <c r="A47" s="402" t="s">
        <v>707</v>
      </c>
      <c r="B47" s="402" t="s">
        <v>708</v>
      </c>
    </row>
    <row r="48" spans="1:4" ht="21" customHeight="1">
      <c r="A48" s="15" t="s">
        <v>663</v>
      </c>
      <c r="B48" s="16" t="s">
        <v>664</v>
      </c>
      <c r="C48" s="16" t="s">
        <v>96</v>
      </c>
      <c r="D48" s="16" t="s">
        <v>205</v>
      </c>
    </row>
    <row r="49" spans="1:4" ht="21" customHeight="1">
      <c r="A49" s="354">
        <v>1</v>
      </c>
      <c r="B49" s="10" t="s">
        <v>709</v>
      </c>
      <c r="C49" s="10">
        <v>53844500287</v>
      </c>
      <c r="D49" s="10">
        <f>46854406626+C49</f>
        <v>100698906913</v>
      </c>
    </row>
    <row r="50" spans="1:4" ht="21" customHeight="1">
      <c r="A50" s="22">
        <v>2</v>
      </c>
      <c r="B50" s="11" t="s">
        <v>710</v>
      </c>
      <c r="C50" s="11">
        <v>175832354</v>
      </c>
      <c r="D50" s="11">
        <f>24825000+C50</f>
        <v>200657354</v>
      </c>
    </row>
    <row r="51" spans="1:4" ht="21" customHeight="1">
      <c r="A51" s="22">
        <v>3</v>
      </c>
      <c r="B51" s="11" t="s">
        <v>711</v>
      </c>
      <c r="C51" s="11">
        <f>C49-C50</f>
        <v>53668667933</v>
      </c>
      <c r="D51" s="11">
        <f>D49-D50</f>
        <v>100498249559</v>
      </c>
    </row>
    <row r="52" spans="1:4" ht="21" customHeight="1">
      <c r="A52" s="22">
        <v>4</v>
      </c>
      <c r="B52" s="11" t="s">
        <v>712</v>
      </c>
      <c r="C52" s="11">
        <v>40073332539</v>
      </c>
      <c r="D52" s="11">
        <f>35818162455+C52</f>
        <v>75891494994</v>
      </c>
    </row>
    <row r="53" spans="1:4" ht="21" customHeight="1">
      <c r="A53" s="22">
        <v>5</v>
      </c>
      <c r="B53" s="11" t="s">
        <v>713</v>
      </c>
      <c r="C53" s="11">
        <f>C51-C52</f>
        <v>13595335394</v>
      </c>
      <c r="D53" s="11">
        <f>D51-D52</f>
        <v>24606754565</v>
      </c>
    </row>
    <row r="54" spans="1:4" ht="21" customHeight="1">
      <c r="A54" s="22">
        <v>6</v>
      </c>
      <c r="B54" s="11" t="s">
        <v>714</v>
      </c>
      <c r="C54" s="11">
        <v>185555442</v>
      </c>
      <c r="D54" s="11">
        <f>64186506+C54</f>
        <v>249741948</v>
      </c>
    </row>
    <row r="55" spans="1:4" ht="21" customHeight="1">
      <c r="A55" s="22">
        <v>7</v>
      </c>
      <c r="B55" s="11" t="s">
        <v>715</v>
      </c>
      <c r="C55" s="11">
        <v>895375705</v>
      </c>
      <c r="D55" s="11">
        <f>845007784+C55</f>
        <v>1740383489</v>
      </c>
    </row>
    <row r="56" spans="1:4" ht="21" customHeight="1">
      <c r="A56" s="22">
        <v>8</v>
      </c>
      <c r="B56" s="11" t="s">
        <v>716</v>
      </c>
      <c r="C56" s="11">
        <v>3838984227</v>
      </c>
      <c r="D56" s="11">
        <f>2995817083+C56</f>
        <v>6834801310</v>
      </c>
    </row>
    <row r="57" spans="1:4" ht="21" customHeight="1">
      <c r="A57" s="22">
        <v>9</v>
      </c>
      <c r="B57" s="11" t="s">
        <v>717</v>
      </c>
      <c r="C57" s="11">
        <v>5447375438</v>
      </c>
      <c r="D57" s="11">
        <f>4326389532+C57</f>
        <v>9773764970</v>
      </c>
    </row>
    <row r="58" spans="1:4" ht="21" customHeight="1">
      <c r="A58" s="22">
        <v>10</v>
      </c>
      <c r="B58" s="11" t="s">
        <v>718</v>
      </c>
      <c r="C58" s="11">
        <f>C53+C54-C55-C56-C57</f>
        <v>3599155466</v>
      </c>
      <c r="D58" s="11">
        <f>D53+D54-D55-D56-D57</f>
        <v>6507546744</v>
      </c>
    </row>
    <row r="59" spans="1:4" ht="21" customHeight="1">
      <c r="A59" s="22">
        <v>11</v>
      </c>
      <c r="B59" s="11" t="s">
        <v>719</v>
      </c>
      <c r="C59" s="28">
        <v>3000000</v>
      </c>
      <c r="D59" s="28">
        <f>C59</f>
        <v>3000000</v>
      </c>
    </row>
    <row r="60" spans="1:4" ht="21" customHeight="1">
      <c r="A60" s="22">
        <v>12</v>
      </c>
      <c r="B60" s="11" t="s">
        <v>720</v>
      </c>
      <c r="C60" s="28"/>
      <c r="D60" s="28">
        <v>11364000</v>
      </c>
    </row>
    <row r="61" spans="1:4" ht="21" customHeight="1">
      <c r="A61" s="22">
        <v>13</v>
      </c>
      <c r="B61" s="11" t="s">
        <v>721</v>
      </c>
      <c r="C61" s="29">
        <f>C59-C60</f>
        <v>3000000</v>
      </c>
      <c r="D61" s="29">
        <f>D59-D60</f>
        <v>-8364000</v>
      </c>
    </row>
    <row r="62" spans="1:4" ht="21" customHeight="1">
      <c r="A62" s="22">
        <v>14</v>
      </c>
      <c r="B62" s="11" t="s">
        <v>722</v>
      </c>
      <c r="C62" s="11">
        <f>C58+C61</f>
        <v>3602155466</v>
      </c>
      <c r="D62" s="11">
        <f>D58+D61</f>
        <v>6499182744</v>
      </c>
    </row>
    <row r="63" spans="1:4" ht="21" customHeight="1">
      <c r="A63" s="22">
        <v>15</v>
      </c>
      <c r="B63" s="11" t="s">
        <v>723</v>
      </c>
      <c r="C63" s="11">
        <v>900538867</v>
      </c>
      <c r="D63" s="11">
        <f>724256820+C63</f>
        <v>1624795687</v>
      </c>
    </row>
    <row r="64" spans="1:4" ht="21" customHeight="1">
      <c r="A64" s="22">
        <v>16</v>
      </c>
      <c r="B64" s="11" t="s">
        <v>724</v>
      </c>
      <c r="C64" s="11">
        <f>C62-C63</f>
        <v>2701616599</v>
      </c>
      <c r="D64" s="11">
        <f>D62-D63</f>
        <v>4874387057</v>
      </c>
    </row>
    <row r="65" spans="1:4" ht="21" customHeight="1">
      <c r="A65" s="22">
        <v>17</v>
      </c>
      <c r="B65" s="11" t="s">
        <v>725</v>
      </c>
      <c r="C65" s="403">
        <f>C64/2758680</f>
        <v>979.3149618658199</v>
      </c>
      <c r="D65" s="403">
        <f>D64/2758680</f>
        <v>1766.9273192251367</v>
      </c>
    </row>
    <row r="66" spans="1:4" ht="21" customHeight="1">
      <c r="A66" s="388">
        <v>18</v>
      </c>
      <c r="B66" s="67" t="s">
        <v>726</v>
      </c>
      <c r="C66" s="404">
        <v>500</v>
      </c>
      <c r="D66" s="404">
        <v>1000</v>
      </c>
    </row>
    <row r="68" spans="1:4" ht="15.75">
      <c r="C68" s="8" t="s">
        <v>727</v>
      </c>
    </row>
    <row r="69" spans="1:4" ht="21" customHeight="1">
      <c r="C69" s="405" t="s">
        <v>728</v>
      </c>
    </row>
    <row r="70" spans="1:4" ht="21" customHeight="1">
      <c r="C70" s="405"/>
    </row>
    <row r="74" spans="1:4" ht="21" customHeight="1">
      <c r="C74" s="382"/>
    </row>
  </sheetData>
  <mergeCells count="6">
    <mergeCell ref="B1:C1"/>
    <mergeCell ref="B2:C2"/>
    <mergeCell ref="B3:D3"/>
    <mergeCell ref="A5:D5"/>
    <mergeCell ref="A6:D6"/>
    <mergeCell ref="A8:D8"/>
  </mergeCells>
  <phoneticPr fontId="105" type="noConversion"/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xSa9WIqy6c4uCOmQtYG4A0d74Sk=</DigestValue>
    </Reference>
    <Reference URI="#idOfficeObject" Type="http://www.w3.org/2000/09/xmldsig#Object">
      <DigestMethod Algorithm="http://www.w3.org/2000/09/xmldsig#sha1"/>
      <DigestValue>4rKYbzDa9SlR0kGOUQX+iF7ufK4=</DigestValue>
    </Reference>
  </SignedInfo>
  <SignatureValue>
    qrVyVF8RR3OxJB3jxyb/N1VQq8GG2Xnheqn27g3SXJMhwgtTEp2y01yYeCzxe5n3ugfcDPTQ
    WHhLqAnb/Mf3p9NT1Y9D/iytdnoZlZQozXjmUE2M/fLiOqXwl3paPHghYN3Ax+5tYaDeEFcl
    8Bzid2u0OxqdZ/tIriVMPRpu480=
  </SignatureValue>
  <KeyInfo>
    <KeyValue>
      <RSAKeyValue>
        <Modulus>
            3drsuSE+wLRObE/abvF0GYMeIlELXBDIk+BJLGLwY8CnOXeF+kz0PXU8FVjlHpENmp1RBVnz
            pNPe+y+GiS8xsrbgeeWMo2ee3BTzsgzd9HEYhFyXs3Zty//Yj7yFjU9ypvq37MUWVwKLOcpw
            KVJ0m9EVLdtzh9GJILeFRh6Cqq8=
          </Modulus>
        <Exponent>AQAB</Exponent>
      </RSAKeyValue>
    </KeyValue>
    <X509Data>
      <X509Certificate>
          MIIB0jCCAT+gAwIBAgIQYr8cDcSNkbpO7k4Ylow9hDAJBgUrDgMCHQUAMCMxEDAOBgNVBAMT
          B2xlIHRodXkxDzANBgNVBAoTBjEyMTI3MjAeFw0xMzAzMjAwMjI0MTdaFw0xNDAzMjAwODI0
          MTdaMCMxEDAOBgNVBAMTB2xlIHRodXkxDzANBgNVBAoTBjEyMTI3MjCBnzANBgkqhkiG9w0B
          AQEFAAOBjQAwgYkCgYEA3drsuSE+wLRObE/abvF0GYMeIlELXBDIk+BJLGLwY8CnOXeF+kz0
          PXU8FVjlHpENmp1RBVnzpNPe+y+GiS8xsrbgeeWMo2ee3BTzsgzd9HEYhFyXs3Zty//Yj7yF
          jU9ypvq37MUWVwKLOcpwKVJ0m9EVLdtzh9GJILeFRh6Cqq8CAwEAAaMPMA0wCwYDVR0PBAQD
          AgbAMAkGBSsOAwIdBQADgYEAh2YRewYFmPUziGEWj+LSzODYvmgOw6c+Dhd5gVZPFBGFJjGk
          Mrr0kt7O6S8W9IISPeKJlPl0zEVaJe2y6oHtV/XE8vA8o+OIOA1UNH9OwXD/sProSGE442KT
          /gsxcUM3XaOHLin8dTdEEAZ7QxQYfZZNnmLkvO+Umzc9LMOwRD8=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p8pim1MYxWZjaEj3UkLYrO15HLQ=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drawing1.xml?ContentType=application/vnd.openxmlformats-officedocument.drawing+xml">
        <DigestMethod Algorithm="http://www.w3.org/2000/09/xmldsig#sha1"/>
        <DigestValue>Shp/6S9TA1ozbjp3VwENrbqLHKo=</DigestValue>
      </Reference>
      <Reference URI="/xl/drawings/drawing2.xml?ContentType=application/vnd.openxmlformats-officedocument.drawing+xml">
        <DigestMethod Algorithm="http://www.w3.org/2000/09/xmldsig#sha1"/>
        <DigestValue>uJ8HA862/cACwiD/Je2DLv0VVok=</DigestValue>
      </Reference>
      <Reference URI="/xl/drawings/drawing3.xml?ContentType=application/vnd.openxmlformats-officedocument.drawing+xml">
        <DigestMethod Algorithm="http://www.w3.org/2000/09/xmldsig#sha1"/>
        <DigestValue>Zwk11sbbhLVw4UvTe/g9mWVU0yk=</DigestValue>
      </Reference>
      <Reference URI="/xl/drawings/drawing4.xml?ContentType=application/vnd.openxmlformats-officedocument.drawing+xml">
        <DigestMethod Algorithm="http://www.w3.org/2000/09/xmldsig#sha1"/>
        <DigestValue>zzuifpqkza+Hib8VxCe0+Yr5Fv4=</DigestValue>
      </Reference>
      <Reference URI="/xl/drawings/drawing5.xml?ContentType=application/vnd.openxmlformats-officedocument.drawing+xml">
        <DigestMethod Algorithm="http://www.w3.org/2000/09/xmldsig#sha1"/>
        <DigestValue>QuyhLrMTiFEjLi6zvh02stKJ9xs=</DigestValue>
      </Reference>
      <Reference URI="/xl/media/image1.wmf?ContentType=image/x-wmf">
        <DigestMethod Algorithm="http://www.w3.org/2000/09/xmldsig#sha1"/>
        <DigestValue>r1+esW6lFaDkdwk5G3M3LqjAMRc=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Vxn0u0ong2cfniJTGQNvMssBZhQ=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Ejv4pVJElK7VR2+0nvkMnrzObGM=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nHmISTXk+0yrdjYRAYa+MZhb0/4=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pN8BcpGIRpPP1c/odNwqkelFGC0=</DigestValue>
      </Reference>
      <Reference URI="/xl/sharedStrings.xml?ContentType=application/vnd.openxmlformats-officedocument.spreadsheetml.sharedStrings+xml">
        <DigestMethod Algorithm="http://www.w3.org/2000/09/xmldsig#sha1"/>
        <DigestValue>2CQJhthK6sB48YFrSP7WBQ/ix4s=</DigestValue>
      </Reference>
      <Reference URI="/xl/styles.xml?ContentType=application/vnd.openxmlformats-officedocument.spreadsheetml.styles+xml">
        <DigestMethod Algorithm="http://www.w3.org/2000/09/xmldsig#sha1"/>
        <DigestValue>ZiqjIKfotac1szMfKlRuRbfiwsk=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elyZ39ovvUO7RvaaZRusPtN8D/8=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IC++VC4bXicnXlX/Zj6Wupi7yCE=</DigestValue>
      </Reference>
      <Reference URI="/xl/worksheets/sheet1.xml?ContentType=application/vnd.openxmlformats-officedocument.spreadsheetml.worksheet+xml">
        <DigestMethod Algorithm="http://www.w3.org/2000/09/xmldsig#sha1"/>
        <DigestValue>AOwZHB8s33sNfCmDgugR8Abo6Q0=</DigestValue>
      </Reference>
      <Reference URI="/xl/worksheets/sheet2.xml?ContentType=application/vnd.openxmlformats-officedocument.spreadsheetml.worksheet+xml">
        <DigestMethod Algorithm="http://www.w3.org/2000/09/xmldsig#sha1"/>
        <DigestValue>pQ6ysR388+Ijr+Dic3aIULRew0M=</DigestValue>
      </Reference>
      <Reference URI="/xl/worksheets/sheet3.xml?ContentType=application/vnd.openxmlformats-officedocument.spreadsheetml.worksheet+xml">
        <DigestMethod Algorithm="http://www.w3.org/2000/09/xmldsig#sha1"/>
        <DigestValue>uFSr4vGrAhfBq13Y3MVFA6qNS5Y=</DigestValue>
      </Reference>
      <Reference URI="/xl/worksheets/sheet4.xml?ContentType=application/vnd.openxmlformats-officedocument.spreadsheetml.worksheet+xml">
        <DigestMethod Algorithm="http://www.w3.org/2000/09/xmldsig#sha1"/>
        <DigestValue>pqg3qyQkNhz3qW+4SJCuwGrf8zs=</DigestValue>
      </Reference>
      <Reference URI="/xl/worksheets/sheet5.xml?ContentType=application/vnd.openxmlformats-officedocument.spreadsheetml.worksheet+xml">
        <DigestMethod Algorithm="http://www.w3.org/2000/09/xmldsig#sha1"/>
        <DigestValue>v0/K2HTGmv4BSLg6A4tzHx+eKHg=</DigestValue>
      </Reference>
    </Manifest>
    <SignatureProperties>
      <SignatureProperty Id="idSignatureTime" Target="#idPackageSignature">
        <mdssi:SignatureTime>
          <mdssi:Format>YYYY-MM-DDThh:mm:ssTZD</mdssi:Format>
          <mdssi:Value>2013-07-20T00:43:44Z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KQKD</vt:lpstr>
      <vt:lpstr>TMBC</vt:lpstr>
      <vt:lpstr>CDKT</vt:lpstr>
      <vt:lpstr>LCTT</vt:lpstr>
      <vt:lpstr>CBTT-Qui 2 13</vt:lpstr>
    </vt:vector>
  </TitlesOfParts>
  <Company>YMC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Tung Hiep</dc:creator>
  <cp:lastModifiedBy>Mr VUONG</cp:lastModifiedBy>
  <cp:lastPrinted>2013-07-18T04:13:51Z</cp:lastPrinted>
  <dcterms:created xsi:type="dcterms:W3CDTF">2009-07-07T02:41:51Z</dcterms:created>
  <dcterms:modified xsi:type="dcterms:W3CDTF">2013-07-20T00:43:27Z</dcterms:modified>
</cp:coreProperties>
</file>